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191" yWindow="735" windowWidth="15480" windowHeight="8190" tabRatio="947" activeTab="0"/>
  </bookViews>
  <sheets>
    <sheet name="9_Berechnungen" sheetId="1" r:id="rId1"/>
    <sheet name="Table" sheetId="2" state="hidden" r:id="rId2"/>
  </sheets>
  <definedNames>
    <definedName name="Excel_BuiltIn_Print_Area_12">#REF!</definedName>
    <definedName name="Excel_BuiltIn_Print_Area_13">#REF!,#REF!</definedName>
    <definedName name="Excel_BuiltIn_Print_Area_4">#REF!</definedName>
    <definedName name="Excel_BuiltIn_Print_Area_8">#REF!</definedName>
  </definedNames>
  <calcPr fullCalcOnLoad="1"/>
</workbook>
</file>

<file path=xl/comments1.xml><?xml version="1.0" encoding="utf-8"?>
<comments xmlns="http://schemas.openxmlformats.org/spreadsheetml/2006/main">
  <authors>
    <author>ES</author>
    <author/>
    <author>Privat</author>
  </authors>
  <commentList>
    <comment ref="H42" authorId="0">
      <text>
        <r>
          <rPr>
            <sz val="8"/>
            <color indexed="8"/>
            <rFont val="Arial"/>
            <family val="2"/>
          </rPr>
          <t>Extraktgehalt der unvergorenen Würze vor dem Anstellen.</t>
        </r>
      </text>
    </comment>
    <comment ref="B43" authorId="0">
      <text>
        <r>
          <rPr>
            <sz val="8"/>
            <color indexed="8"/>
            <rFont val="Arial"/>
            <family val="2"/>
          </rPr>
          <t xml:space="preserve">Scheinbarer Restextrakt nach Spindelung einer endvergorenen Würzeprobe. Schnellbestimmung bei ~25°C, erhöhter Hefegabe (ca. 15%) und mehrmaligem schütteln. 
</t>
        </r>
        <r>
          <rPr>
            <b/>
            <sz val="8"/>
            <color indexed="8"/>
            <rFont val="Arial"/>
            <family val="2"/>
          </rPr>
          <t>ACHTUNG!</t>
        </r>
        <r>
          <rPr>
            <sz val="8"/>
            <color indexed="8"/>
            <rFont val="Arial"/>
            <family val="2"/>
          </rPr>
          <t xml:space="preserve"> Zur Spindelmessung sollte gelöstes CO2 weitgehend ausgetrieben sein.</t>
        </r>
      </text>
    </comment>
    <comment ref="H43" authorId="0">
      <text>
        <r>
          <rPr>
            <sz val="8"/>
            <color indexed="8"/>
            <rFont val="Arial"/>
            <family val="2"/>
          </rPr>
          <t xml:space="preserve">Temperaturkorrigierte Spindelmessung der endvergorenen Schnellgärprobe. </t>
        </r>
      </text>
    </comment>
    <comment ref="J43" authorId="0">
      <text>
        <r>
          <rPr>
            <sz val="8"/>
            <color indexed="8"/>
            <rFont val="Arial"/>
            <family val="2"/>
          </rPr>
          <t>Scheinbarer Endvergärungsgrad. Erreichbarer höchsmöglicher Vergärgrad der Würze, errechnet aus dem scheinbaren Restextrakt der endvergorenen Würze.</t>
        </r>
      </text>
    </comment>
    <comment ref="R43" authorId="0">
      <text>
        <r>
          <rPr>
            <sz val="8"/>
            <color indexed="8"/>
            <rFont val="Arial"/>
            <family val="2"/>
          </rPr>
          <t>EVG: 
- 78% bis 85% bei hellen Bieren 
- 68% - 75 % bei dunklen Bieren.</t>
        </r>
      </text>
    </comment>
    <comment ref="B44" authorId="0">
      <text>
        <r>
          <rPr>
            <sz val="8"/>
            <color indexed="8"/>
            <rFont val="Arial"/>
            <family val="2"/>
          </rPr>
          <t xml:space="preserve">Extrakt unmittelbar vor dem Aufspeisen.
</t>
        </r>
        <r>
          <rPr>
            <b/>
            <sz val="8"/>
            <color indexed="8"/>
            <rFont val="Arial"/>
            <family val="2"/>
          </rPr>
          <t>ACHTUNG!</t>
        </r>
        <r>
          <rPr>
            <sz val="8"/>
            <color indexed="8"/>
            <rFont val="Arial"/>
            <family val="2"/>
          </rPr>
          <t xml:space="preserve"> Vor der Messung muß das gelöste CO2 aus der Probe weitgehend ausgetrieben werden. Hierzu erwärmt man die Flüssigkeit unter schütteln auf etwa 35°C. Anschließend wird sie auf 20°C gekühlt und gespindelt.</t>
        </r>
      </text>
    </comment>
    <comment ref="H44" authorId="0">
      <text>
        <r>
          <rPr>
            <sz val="8"/>
            <color indexed="8"/>
            <rFont val="Arial"/>
            <family val="2"/>
          </rPr>
          <t>Temperaturkorrigierte Spindelmessung des Jungbieres kurz vor dem Schlauchen.</t>
        </r>
      </text>
    </comment>
    <comment ref="J44" authorId="0">
      <text>
        <r>
          <rPr>
            <sz val="8"/>
            <color indexed="8"/>
            <rFont val="Arial"/>
            <family val="2"/>
          </rPr>
          <t>Scheinbarer Vergärgrad des Jungbieres zum Zeitpunkt unmittelbar vor dem Schlauchen. Wenn grün oder lauter geschlaucht wird, entspricht er dem Gärkellervergärgrad. Wenn mit Speise gearbeitet wird, sollte er dem EVG nahe kommen.</t>
        </r>
      </text>
    </comment>
    <comment ref="R44" authorId="0">
      <text>
        <r>
          <rPr>
            <sz val="8"/>
            <color indexed="8"/>
            <rFont val="Arial"/>
            <family val="2"/>
          </rPr>
          <t>In Bezug auf den scheinbaren Restextrakt des Jungbier zum Zeitpunkt des Schlauchens.</t>
        </r>
      </text>
    </comment>
    <comment ref="B45" authorId="0">
      <text>
        <r>
          <rPr>
            <b/>
            <sz val="8"/>
            <color indexed="8"/>
            <rFont val="Arial"/>
            <family val="2"/>
          </rPr>
          <t>ACHTUNG!</t>
        </r>
        <r>
          <rPr>
            <sz val="8"/>
            <color indexed="8"/>
            <rFont val="Arial"/>
            <family val="2"/>
          </rPr>
          <t xml:space="preserve"> Vor der Messung muß das gelöste CO2 aus der Probe weitgehend ausgetrieben werden. Hierzu erwärmt man die Flüssigkeit unter schütteln auf etwa 35°C. Anschließend wird sie auf 20°C gekühlt und gespindelt.</t>
        </r>
      </text>
    </comment>
    <comment ref="H45" authorId="0">
      <text>
        <r>
          <rPr>
            <sz val="8"/>
            <color indexed="8"/>
            <rFont val="Arial"/>
            <family val="2"/>
          </rPr>
          <t>Temperaturkorrigierte Spindelmessung des Jungbier nach Speisegabe oder zum Zeitpunkt des grün/lauter- Schlauchen.</t>
        </r>
      </text>
    </comment>
    <comment ref="J45" authorId="0">
      <text>
        <r>
          <rPr>
            <sz val="8"/>
            <color indexed="8"/>
            <rFont val="Arial"/>
            <family val="2"/>
          </rPr>
          <t>Scheinbarer Vergärgrad des Jungbieres zum Zeitpunkt des grün/lauter-Schlauchens oder nach Speisezusatz.
In der Regel liegt dieser ~10% unter dem Endvergärungsgrad.</t>
        </r>
      </text>
    </comment>
    <comment ref="R45" authorId="0">
      <text>
        <r>
          <rPr>
            <sz val="8"/>
            <color indexed="8"/>
            <rFont val="Arial"/>
            <family val="2"/>
          </rPr>
          <t>In Bezug auf den scheinbaren Restextrakt zum Zeitpunkt des grün/lauter- Schlauchens oder nach Speisezusatz.</t>
        </r>
      </text>
    </comment>
    <comment ref="H47" authorId="0">
      <text>
        <r>
          <rPr>
            <sz val="8"/>
            <color indexed="8"/>
            <rFont val="Arial"/>
            <family val="2"/>
          </rPr>
          <t>Extraktgehalt der unvergorenen Würze vor dem Anstellen.</t>
        </r>
      </text>
    </comment>
    <comment ref="H48" authorId="0">
      <text>
        <r>
          <rPr>
            <sz val="8"/>
            <color indexed="8"/>
            <rFont val="Arial"/>
            <family val="2"/>
          </rPr>
          <t>Temperaturkorrigierte Spindelmessung des fertigen Bieres zum Ende der Reifezeit.</t>
        </r>
      </text>
    </comment>
    <comment ref="J48" authorId="0">
      <text>
        <r>
          <rPr>
            <sz val="8"/>
            <color indexed="8"/>
            <rFont val="Arial"/>
            <family val="2"/>
          </rPr>
          <t>Scheinbarer Vergärgrad am Ende der Lagerzeit. Dieser sollte knapp unter dem Endvergärungsgrad liegen:
bei hellen Lagerbieren 2-4%,
bei Exportbieren 0,5-2%, 
bei Pilsner Bieren 0,5-6%, 
bei dunklen Bieren ca. 6% darunter.</t>
        </r>
      </text>
    </comment>
    <comment ref="R48" authorId="0">
      <text>
        <r>
          <rPr>
            <sz val="8"/>
            <color indexed="8"/>
            <rFont val="Arial"/>
            <family val="2"/>
          </rPr>
          <t>In Bezug auf den Extraktgehalt des fertigen Bieres.</t>
        </r>
      </text>
    </comment>
    <comment ref="H49" authorId="0">
      <text>
        <r>
          <rPr>
            <sz val="8"/>
            <color indexed="8"/>
            <rFont val="Arial"/>
            <family val="2"/>
          </rPr>
          <t>Extraktgehalt ohne Alkohol, in Bezug auf den scheinbaren Restextrakt im fertigen Bier.</t>
        </r>
      </text>
    </comment>
    <comment ref="J49" authorId="0">
      <text>
        <r>
          <rPr>
            <sz val="8"/>
            <color indexed="8"/>
            <rFont val="Arial"/>
            <family val="2"/>
          </rPr>
          <t>Theoretischer Wert. Wird in der Praxis nach Abdestillieren des im Bier enthaltenen Alkohol und dessen Ersatz durch Wasser ermittelt.</t>
        </r>
      </text>
    </comment>
    <comment ref="R49" authorId="0">
      <text>
        <r>
          <rPr>
            <sz val="8"/>
            <color indexed="8"/>
            <rFont val="Arial"/>
            <family val="2"/>
          </rPr>
          <t>In Bezug auf den tatsächlichen Restextrakt im fertigen Bier.</t>
        </r>
      </text>
    </comment>
    <comment ref="H50" authorId="0">
      <text>
        <r>
          <rPr>
            <sz val="8"/>
            <color indexed="8"/>
            <rFont val="Arial"/>
            <family val="2"/>
          </rPr>
          <t>In Bezug auf den Restextrakt des fertigen Bieres.</t>
        </r>
      </text>
    </comment>
    <comment ref="H51" authorId="0">
      <text>
        <r>
          <rPr>
            <sz val="8"/>
            <color indexed="8"/>
            <rFont val="Arial"/>
            <family val="2"/>
          </rPr>
          <t>In Bezug auf den Restextrakt des fertigen Bieres.</t>
        </r>
      </text>
    </comment>
    <comment ref="H52" authorId="0">
      <text>
        <r>
          <rPr>
            <sz val="8"/>
            <color indexed="8"/>
            <rFont val="Arial"/>
            <family val="2"/>
          </rPr>
          <t>In Bezug auf den Restextrakt des fertigen Bieres.</t>
        </r>
      </text>
    </comment>
    <comment ref="B59" authorId="0">
      <text>
        <r>
          <rPr>
            <sz val="8"/>
            <color indexed="8"/>
            <rFont val="Arial"/>
            <family val="2"/>
          </rPr>
          <t>Tatsächliche Jungbiermenge vor dem aufspeisen (ohne Hefesatz).</t>
        </r>
      </text>
    </comment>
    <comment ref="B60" authorId="0">
      <text>
        <r>
          <rPr>
            <sz val="8"/>
            <color indexed="8"/>
            <rFont val="Arial"/>
            <family val="2"/>
          </rPr>
          <t>Hier den gewünschten CO2-Gehalt fürs fertige Bier eintragen.</t>
        </r>
      </text>
    </comment>
    <comment ref="B62" authorId="0">
      <text>
        <r>
          <rPr>
            <sz val="8"/>
            <color indexed="8"/>
            <rFont val="Arial"/>
            <family val="2"/>
          </rPr>
          <t>I. d.R. Temperatur der Hauptgärung.</t>
        </r>
      </text>
    </comment>
    <comment ref="B63" authorId="0">
      <text>
        <r>
          <rPr>
            <sz val="8"/>
            <color indexed="8"/>
            <rFont val="Arial"/>
            <family val="2"/>
          </rPr>
          <t xml:space="preserve">Spindelwert einer endvergorenen Würzeprobe. Schnellbestimmung: 24-48 Stunden bei ~25°C, erhöhter Hefegabe (ca. 15%) und mehrmaligem schütteln ==&gt; sog. Schnellvergärungsprobe. 
</t>
        </r>
        <r>
          <rPr>
            <b/>
            <sz val="8"/>
            <color indexed="8"/>
            <rFont val="Arial"/>
            <family val="2"/>
          </rPr>
          <t>ACHTUNG!</t>
        </r>
        <r>
          <rPr>
            <sz val="8"/>
            <color indexed="8"/>
            <rFont val="Arial"/>
            <family val="2"/>
          </rPr>
          <t xml:space="preserve"> Zur Spindelmessung sollte gelöstes CO2 weitgehend ausgetrieben sein.</t>
        </r>
      </text>
    </comment>
    <comment ref="B64" authorId="0">
      <text>
        <r>
          <rPr>
            <sz val="8"/>
            <color indexed="8"/>
            <rFont val="Arial"/>
            <family val="2"/>
          </rPr>
          <t xml:space="preserve">Extraktgehalt des Jungbieres unmittelbar vor dem aufspeisen oder Grünschlauchen.
</t>
        </r>
        <r>
          <rPr>
            <b/>
            <sz val="8"/>
            <color indexed="8"/>
            <rFont val="Arial"/>
            <family val="2"/>
          </rPr>
          <t xml:space="preserve">ACHTUNG! </t>
        </r>
        <r>
          <rPr>
            <sz val="8"/>
            <color indexed="8"/>
            <rFont val="Arial"/>
            <family val="2"/>
          </rPr>
          <t>Vor der Messung muß das gelöste CO2 aus der Probe weitgehend ausgetrieben werden. Hierzu erwärmt man die Flüssigkeit unter schütteln auf etwa 35°C. Anschließend wird sie auf 20°C gekühlt und gespindelt.
Dieser Wert darf den „berechneten Extraktgehalt des Jungbier zur Druckgärung“ nicht übersteigen, da sonst die gewünschte Rezenz überschritten wird.</t>
        </r>
      </text>
    </comment>
    <comment ref="J64" authorId="0">
      <text>
        <r>
          <rPr>
            <sz val="8"/>
            <color indexed="8"/>
            <rFont val="Arial"/>
            <family val="2"/>
          </rPr>
          <t>Wenn unten diese Fehlermeldung erscheint "ACHTUNG! Extrakt des Jungbier ist zu hoch!", ist das Jungbier noch nicht weit genug vergoren um aufgespeist oder grün geschlaucht zu werden. Dieser Wert muß niedriger ausfallen!</t>
        </r>
      </text>
    </comment>
    <comment ref="B65" authorId="0">
      <text>
        <r>
          <rPr>
            <b/>
            <sz val="8"/>
            <color indexed="8"/>
            <rFont val="Arial"/>
            <family val="2"/>
          </rPr>
          <t>ACHTUNG!</t>
        </r>
        <r>
          <rPr>
            <sz val="8"/>
            <color indexed="8"/>
            <rFont val="Arial"/>
            <family val="2"/>
          </rPr>
          <t xml:space="preserve"> Vor der Messung muß das gelöste CO2 aus der Probe weitgehend ausgetrieben werden. Hierzu erwärmt man die Flüssigkeit unter schütteln auf etwa 35°C. Anschließend wird sie auf 20°C gekühlt und gespindelt.</t>
        </r>
      </text>
    </comment>
    <comment ref="B67" authorId="0">
      <text>
        <r>
          <rPr>
            <sz val="8"/>
            <color indexed="8"/>
            <rFont val="Arial"/>
            <family val="2"/>
          </rPr>
          <t>Speisemenge die dem Jungbier beizugeben ist, um die gewünschte Rezez zu erhalten. Diese Angabe stimmt nur dann, wenn am Ende der Druckgärung der Ausstoßvergärgrad gleich dem Endvergärgrad (EVG) aus der Schnellgärprobe ist. In der Praxis liegt der Ausstoßvergärgrad jedoch oft ein paar % unter dem EVG, was eine höhere Speisegabe zur Folge hat.
Wenn die Fehlermeldung "ACHTUNG! Extrakt des Jungbier ist zu hoch!" erscheint, ist das Jungbier noch nicht weit genug vergoren um aufgespeist oder grün geschlaucht zu werden.</t>
        </r>
      </text>
    </comment>
    <comment ref="B68" authorId="0">
      <text>
        <r>
          <rPr>
            <sz val="8"/>
            <color indexed="8"/>
            <rFont val="Arial"/>
            <family val="2"/>
          </rPr>
          <t>Wenn die Speisemenge nicht ausreicht oder gar ganz ohne Speise gearbeitet wird, so kann auch Haushaltszucker Verwendung finden. Der Stammwürz- und Alkoholgehalt wird hierduch jedoch entsprechend, meist geringfügig erhöht.</t>
        </r>
      </text>
    </comment>
    <comment ref="K77" authorId="0">
      <text>
        <r>
          <rPr>
            <sz val="8"/>
            <color indexed="8"/>
            <rFont val="Arial"/>
            <family val="2"/>
          </rPr>
          <t>Diff.: Die Differenz von Stammwürzgehalt zu Refraktometerablesung ist zu gering um ein genaues Ergebniss zu berechnen.</t>
        </r>
      </text>
    </comment>
    <comment ref="K78" authorId="0">
      <text>
        <r>
          <rPr>
            <sz val="8"/>
            <color indexed="8"/>
            <rFont val="Arial"/>
            <family val="2"/>
          </rPr>
          <t>Diff.: Die Differenz von Stammwürzgehalt zu Refraktometerablesung ist zu gering um ein genaues Ergebniss zu berechnen.</t>
        </r>
      </text>
    </comment>
    <comment ref="H90" authorId="0">
      <text>
        <r>
          <rPr>
            <sz val="8"/>
            <color indexed="8"/>
            <rFont val="Arial"/>
            <family val="2"/>
          </rPr>
          <t>Erfolgt keine Wasserbehandlung nach Spalte 2, so ist für gH und kH der berechnete Wert aus Spalte 1. zu übernehmen.</t>
        </r>
      </text>
    </comment>
    <comment ref="J90" authorId="0">
      <text>
        <r>
          <rPr>
            <sz val="8"/>
            <color indexed="8"/>
            <rFont val="Arial"/>
            <family val="2"/>
          </rPr>
          <t>Erfolgt keine Aufsalzung des Brauwassers, so ist der berechnete Wert aus Spalte 2. für Sulfat und Chlorid zu übernehmen.</t>
        </r>
      </text>
    </comment>
    <comment ref="L90" authorId="0">
      <text>
        <r>
          <rPr>
            <sz val="8"/>
            <color indexed="8"/>
            <rFont val="Arial"/>
            <family val="2"/>
          </rPr>
          <t>Erfolgt keine Milchsäure-Gabe, so ist der RA-Wert aus Spalte 3 zu übernehmen.</t>
        </r>
      </text>
    </comment>
    <comment ref="H100" authorId="0">
      <text>
        <r>
          <rPr>
            <sz val="8"/>
            <color indexed="8"/>
            <rFont val="Arial"/>
            <family val="2"/>
          </rPr>
          <t>Die Gesamthärte kann mit einem Gesamthärte-Tropftest der Firma Sera oder vergleichbaren anderen Tropftests bestimmt werden. Beziehbar über den Zoohandel mit Aquaristik-Zubehör. 
Bei Verschnitt mit destilliertem oder vollentsalztem Wasser kann über die Mischungsrechnung die entsprechende Gesamthärte ermittelt werden, wobei dann für die Gesamthärte des vollentsalzten Wassers ein Wert von 0 °dH einzutragen ist.</t>
        </r>
      </text>
    </comment>
    <comment ref="H101" authorId="0">
      <text>
        <r>
          <rPr>
            <sz val="8"/>
            <color indexed="8"/>
            <rFont val="Arial"/>
            <family val="2"/>
          </rPr>
          <t>Die Karbonathärte kann mit einem Karbonathärte-Tropftest der Firma Sera oder vergleichbaren anderen Tropftests bestimmt werden. Beziehbar über den Zoohandel mit Aquaristik-Zubehör. 
Bei Verschnitt mit destilliertem oder vollentsalztem Wasser, kann über die Mischungsrechnung die entsprechende Karbonathärte ermittelt werden, wobei dann für die Karbonathärte des vollentsalzten Wassers ein Wert von 0 °dH einzutragen ist.</t>
        </r>
      </text>
    </comment>
    <comment ref="J112" authorId="0">
      <text>
        <r>
          <rPr>
            <sz val="8"/>
            <color indexed="8"/>
            <rFont val="Arial"/>
            <family val="2"/>
          </rPr>
          <t>Ermittelt bei Kochtemperatur. Im Gegensatz zu den temperaturkorrigierten Werten, mit denen in der Kleinsudberechnung gerechnet wird.</t>
        </r>
      </text>
    </comment>
    <comment ref="R112" authorId="0">
      <text>
        <r>
          <rPr>
            <sz val="8"/>
            <color indexed="8"/>
            <rFont val="Arial"/>
            <family val="2"/>
          </rPr>
          <t>Ermittelt bei 20°C.</t>
        </r>
      </text>
    </comment>
    <comment ref="S141" authorId="0">
      <text>
        <r>
          <rPr>
            <sz val="8"/>
            <color indexed="8"/>
            <rFont val="Arial"/>
            <family val="2"/>
          </rPr>
          <t>Bei einer Hopfung der Würze mit verschiedenen Hopfenprodukten (Dolden, Pellets, Öl), einfach den entsprechenden IBU-Wert der Gabe ablesen und hier eintragen.</t>
        </r>
      </text>
    </comment>
    <comment ref="B150" authorId="0">
      <text>
        <r>
          <rPr>
            <sz val="8"/>
            <color indexed="8"/>
            <rFont val="Arial"/>
            <family val="2"/>
          </rPr>
          <t>Nach Verdünnung mit Wasser.</t>
        </r>
      </text>
    </comment>
    <comment ref="B152" authorId="0">
      <text>
        <r>
          <rPr>
            <sz val="8"/>
            <color indexed="8"/>
            <rFont val="Arial"/>
            <family val="2"/>
          </rPr>
          <t>Nach Whirlpool und anschließendem verdünnen mit Wasser. Eventuelle Whirlpool-Verluste sind hier automatisch berücksichtigt.</t>
        </r>
      </text>
    </comment>
    <comment ref="M189" authorId="1">
      <text>
        <r>
          <rPr>
            <sz val="8"/>
            <color indexed="8"/>
            <rFont val="Arial"/>
            <family val="2"/>
          </rPr>
          <t>Die Zufärbung durch das Würzekochen beträgt i.d.R. etwa 3 EBC.</t>
        </r>
      </text>
    </comment>
    <comment ref="H192" authorId="0">
      <text>
        <r>
          <rPr>
            <sz val="8"/>
            <color indexed="8"/>
            <rFont val="Arial"/>
            <family val="2"/>
          </rPr>
          <t>Hier die Malzfarbe angeben.</t>
        </r>
      </text>
    </comment>
    <comment ref="J226" authorId="0">
      <text>
        <r>
          <rPr>
            <sz val="8"/>
            <color indexed="8"/>
            <rFont val="Arial"/>
            <family val="2"/>
          </rPr>
          <t>Diese Würzemenge soll mit Hefe angestellt werden (Anstellwürze).</t>
        </r>
      </text>
    </comment>
    <comment ref="J227" authorId="0">
      <text>
        <r>
          <rPr>
            <sz val="8"/>
            <color indexed="8"/>
            <rFont val="Arial"/>
            <family val="2"/>
          </rPr>
          <t>Diesen Stammwürzgehalt soll die Anstellwürze bekommen.</t>
        </r>
      </text>
    </comment>
    <comment ref="J228" authorId="0">
      <text>
        <r>
          <rPr>
            <sz val="8"/>
            <color indexed="8"/>
            <rFont val="Arial"/>
            <family val="2"/>
          </rPr>
          <t>Diese Bittere soll die Anstellwürze bekommen.</t>
        </r>
      </text>
    </comment>
    <comment ref="J229" authorId="0">
      <text>
        <r>
          <rPr>
            <sz val="8"/>
            <color indexed="8"/>
            <rFont val="Arial"/>
            <family val="2"/>
          </rPr>
          <t>Dies ist die herzustellender Ausschlagwürze-Menge.</t>
        </r>
      </text>
    </comment>
    <comment ref="J230" authorId="0">
      <text>
        <r>
          <rPr>
            <sz val="8"/>
            <color indexed="8"/>
            <rFont val="Arial"/>
            <family val="2"/>
          </rPr>
          <t>Stammwürzgehalt der Ausschlagwürze.</t>
        </r>
      </text>
    </comment>
    <comment ref="J231" authorId="0">
      <text>
        <r>
          <rPr>
            <sz val="8"/>
            <color indexed="8"/>
            <rFont val="Arial"/>
            <family val="2"/>
          </rPr>
          <t>Bittere der Ausschlagwürze.</t>
        </r>
      </text>
    </comment>
    <comment ref="J232" authorId="0">
      <text>
        <r>
          <rPr>
            <sz val="8"/>
            <color indexed="8"/>
            <rFont val="Arial"/>
            <family val="2"/>
          </rPr>
          <t>Mit dieser Wassermenge ist die Ausschlagwürze zu verdünnen.</t>
        </r>
      </text>
    </comment>
    <comment ref="B75" authorId="2">
      <text>
        <r>
          <rPr>
            <sz val="8"/>
            <rFont val="Tahoma"/>
            <family val="2"/>
          </rPr>
          <t>Falls mit dem Refraktometer gemessen: °P = %Brix / 1,03</t>
        </r>
        <r>
          <rPr>
            <sz val="8"/>
            <rFont val="Tahoma"/>
            <family val="0"/>
          </rPr>
          <t xml:space="preserve">
</t>
        </r>
      </text>
    </comment>
  </commentList>
</comments>
</file>

<file path=xl/sharedStrings.xml><?xml version="1.0" encoding="utf-8"?>
<sst xmlns="http://schemas.openxmlformats.org/spreadsheetml/2006/main" count="334" uniqueCount="266">
  <si>
    <t xml:space="preserve">  Kohlensäuregehalt im fertigen Bier</t>
  </si>
  <si>
    <t>Sättigungskonz.</t>
  </si>
  <si>
    <t>Zwischenergebniss</t>
  </si>
  <si>
    <t xml:space="preserve">  Spindelwert der Schnellgärprobe</t>
  </si>
  <si>
    <t xml:space="preserve">  Spindelwert des Jungbieres zur Druckgärung</t>
  </si>
  <si>
    <t>Dichte der Speise</t>
  </si>
  <si>
    <t>Calciumsulfat-Gabe (Aufsalzung)</t>
  </si>
  <si>
    <t>Michungsrechnungen</t>
  </si>
  <si>
    <t>9.13</t>
  </si>
  <si>
    <t>Calciumchlorid-Gabe (Aufsalzung)</t>
  </si>
  <si>
    <t>Milchsäure-Gabe</t>
  </si>
  <si>
    <t>CO2-Gehalt</t>
  </si>
  <si>
    <t>9.5</t>
  </si>
  <si>
    <t>Restalkalität (Brauwasser)</t>
  </si>
  <si>
    <t>Carbonisieren mit Zucker</t>
  </si>
  <si>
    <t>Restextrakt im fertigen Bier (tatsächlicher)</t>
  </si>
  <si>
    <t>Carbonisieren mit Speise</t>
  </si>
  <si>
    <t>Speiseberechnung</t>
  </si>
  <si>
    <t>Dichte der Würze</t>
  </si>
  <si>
    <t>9.1</t>
  </si>
  <si>
    <t>Sudhausausbeute</t>
  </si>
  <si>
    <t>Dichte des Bieres</t>
  </si>
  <si>
    <t>UK/USA-Einheiten</t>
  </si>
  <si>
    <t>9.17</t>
  </si>
  <si>
    <t>Druckgärung (Extraktgehalt)</t>
  </si>
  <si>
    <t>Bittere der Stammwürze</t>
  </si>
  <si>
    <t>Karbonathärte (Brauwasser)</t>
  </si>
  <si>
    <t>Brennwert des Bieres (physiolog.)</t>
  </si>
  <si>
    <t>Maischausbeute</t>
  </si>
  <si>
    <t>9.7</t>
  </si>
  <si>
    <r>
      <t xml:space="preserve">Cl </t>
    </r>
    <r>
      <rPr>
        <vertAlign val="superscript"/>
        <sz val="6"/>
        <rFont val="Arial"/>
        <family val="2"/>
      </rPr>
      <t xml:space="preserve">-    </t>
    </r>
    <r>
      <rPr>
        <sz val="6"/>
        <rFont val="Arial"/>
        <family val="2"/>
      </rPr>
      <t>&lt;100 mg/L</t>
    </r>
  </si>
  <si>
    <t>80 %-ig</t>
  </si>
  <si>
    <t xml:space="preserve"> Säurekapazität Ks 4,3 </t>
  </si>
  <si>
    <t>o. Kalkfällung</t>
  </si>
  <si>
    <r>
      <t xml:space="preserve"> Sulfat (SO</t>
    </r>
    <r>
      <rPr>
        <vertAlign val="subscript"/>
        <sz val="10"/>
        <rFont val="Arial"/>
        <family val="2"/>
      </rPr>
      <t>4</t>
    </r>
    <r>
      <rPr>
        <vertAlign val="superscript"/>
        <sz val="10"/>
        <rFont val="Arial"/>
        <family val="2"/>
      </rPr>
      <t>2-</t>
    </r>
    <r>
      <rPr>
        <sz val="10"/>
        <rFont val="Arial"/>
        <family val="2"/>
      </rPr>
      <t>)</t>
    </r>
  </si>
  <si>
    <r>
      <t xml:space="preserve"> Chlorid (Cl </t>
    </r>
    <r>
      <rPr>
        <vertAlign val="superscript"/>
        <sz val="10"/>
        <rFont val="Arial"/>
        <family val="2"/>
      </rPr>
      <t>-</t>
    </r>
    <r>
      <rPr>
        <sz val="10"/>
        <rFont val="Arial"/>
        <family val="2"/>
      </rPr>
      <t>)</t>
    </r>
  </si>
  <si>
    <r>
      <t xml:space="preserve"> Calcium (Ca</t>
    </r>
    <r>
      <rPr>
        <vertAlign val="superscript"/>
        <sz val="10"/>
        <rFont val="Arial"/>
        <family val="2"/>
      </rPr>
      <t>2+</t>
    </r>
    <r>
      <rPr>
        <sz val="10"/>
        <rFont val="Arial"/>
        <family val="2"/>
      </rPr>
      <t>)</t>
    </r>
  </si>
  <si>
    <r>
      <t xml:space="preserve"> Magnesium (Mg</t>
    </r>
    <r>
      <rPr>
        <vertAlign val="superscript"/>
        <sz val="10"/>
        <rFont val="Arial"/>
        <family val="2"/>
      </rPr>
      <t>2+</t>
    </r>
    <r>
      <rPr>
        <sz val="10"/>
        <rFont val="Arial"/>
        <family val="2"/>
      </rPr>
      <t>)</t>
    </r>
  </si>
  <si>
    <t xml:space="preserve"> Gesamthärte gH</t>
  </si>
  <si>
    <t xml:space="preserve"> Karbonathärte kH</t>
  </si>
  <si>
    <t xml:space="preserve"> Restalkalität RA</t>
  </si>
  <si>
    <t xml:space="preserve"> Brauwassermenge</t>
  </si>
  <si>
    <r>
      <t xml:space="preserve"> Gabe Calciumsulfat Dihydrat  CaSO</t>
    </r>
    <r>
      <rPr>
        <vertAlign val="subscript"/>
        <sz val="10"/>
        <rFont val="Arial"/>
        <family val="2"/>
      </rPr>
      <t>4</t>
    </r>
    <r>
      <rPr>
        <sz val="10"/>
        <rFont val="Arial"/>
        <family val="2"/>
      </rPr>
      <t xml:space="preserve"> * 2H</t>
    </r>
    <r>
      <rPr>
        <vertAlign val="subscript"/>
        <sz val="10"/>
        <rFont val="Arial"/>
        <family val="2"/>
      </rPr>
      <t>2</t>
    </r>
    <r>
      <rPr>
        <sz val="10"/>
        <rFont val="Arial"/>
        <family val="2"/>
      </rPr>
      <t>O</t>
    </r>
  </si>
  <si>
    <r>
      <t xml:space="preserve"> Gabe Calciumchlorid Dihydrat CaCl</t>
    </r>
    <r>
      <rPr>
        <vertAlign val="subscript"/>
        <sz val="10"/>
        <rFont val="Arial"/>
        <family val="2"/>
      </rPr>
      <t>2</t>
    </r>
    <r>
      <rPr>
        <sz val="10"/>
        <rFont val="Arial"/>
        <family val="2"/>
      </rPr>
      <t xml:space="preserve"> * 2 H</t>
    </r>
    <r>
      <rPr>
        <vertAlign val="subscript"/>
        <sz val="10"/>
        <rFont val="Arial"/>
        <family val="2"/>
      </rPr>
      <t>2</t>
    </r>
    <r>
      <rPr>
        <sz val="10"/>
        <rFont val="Arial"/>
        <family val="2"/>
      </rPr>
      <t>O</t>
    </r>
  </si>
  <si>
    <t xml:space="preserve"> Gabe Milchsäure (80 %-ig)</t>
  </si>
  <si>
    <t>Tabelle 9.7: Maischausbeute, Sudhausausbeute und Gärkellerausbeute</t>
  </si>
  <si>
    <t xml:space="preserve"> Würzemenge Pfannevoll</t>
  </si>
  <si>
    <t xml:space="preserve"> Ausschlagwürze (100°C)</t>
  </si>
  <si>
    <t xml:space="preserve"> Anstellmenge+Speise</t>
  </si>
  <si>
    <t xml:space="preserve"> Extraktgehalt</t>
  </si>
  <si>
    <t xml:space="preserve"> Schüttung</t>
  </si>
  <si>
    <t xml:space="preserve"> Ausbeute</t>
  </si>
  <si>
    <t xml:space="preserve"> Sudhausausbeute</t>
  </si>
  <si>
    <t xml:space="preserve"> Gärkellerausbeute</t>
  </si>
  <si>
    <t>Tabelle 9.8: Volumen von Wasser, Maische und Würze umgerechnet auf 20°C (RT)</t>
  </si>
  <si>
    <t xml:space="preserve"> bei einer Temperatur</t>
  </si>
  <si>
    <t xml:space="preserve"> Vol. (20°C) Wasser</t>
  </si>
  <si>
    <t xml:space="preserve"> Vol. (20°C) Maische</t>
  </si>
  <si>
    <t xml:space="preserve"> Vol. (20°C) Würze</t>
  </si>
  <si>
    <t>Endvergärgrad (scheinbarer)</t>
  </si>
  <si>
    <t>Volumenausdehnung Maische</t>
  </si>
  <si>
    <t>9.8</t>
  </si>
  <si>
    <t>Extraktgehalt der Würze</t>
  </si>
  <si>
    <t>Volumenausdehnung Wasser</t>
  </si>
  <si>
    <t>Flüssigkeitsmenge im Zylinder</t>
  </si>
  <si>
    <t>9.16</t>
  </si>
  <si>
    <r>
      <t xml:space="preserve">  </t>
    </r>
    <r>
      <rPr>
        <sz val="14"/>
        <color indexed="9"/>
        <rFont val="Arial"/>
        <family val="2"/>
      </rPr>
      <t>Berechnungen und Umrechnungen fürs Bierbrauen</t>
    </r>
  </si>
  <si>
    <t>Inhalt:</t>
  </si>
  <si>
    <t>Tabelle:</t>
  </si>
  <si>
    <t>Alkoholbestimmung per Refraktometer</t>
  </si>
  <si>
    <t>9.4</t>
  </si>
  <si>
    <t>Gesamthärte (Brauwasser)</t>
  </si>
  <si>
    <t>9.6</t>
  </si>
  <si>
    <t>Alkoholgehalt in Vo.l-%</t>
  </si>
  <si>
    <t>9.2</t>
  </si>
  <si>
    <t>Runden Temperatur Jungbier</t>
  </si>
  <si>
    <t xml:space="preserve">  Spindelwert der Speise</t>
  </si>
  <si>
    <t xml:space="preserve">  Temperatur des aufzuspeisenden Jungbier</t>
  </si>
  <si>
    <t>Erforderl. Zuckermenge</t>
  </si>
  <si>
    <t>Dichte des Jungbieres</t>
  </si>
  <si>
    <t xml:space="preserve">  Spindelwert des Jungbieres vor aufspeisen</t>
  </si>
  <si>
    <t>Vergärbarer Extrakt in der Speise</t>
  </si>
  <si>
    <t xml:space="preserve">  Spindelwert des Jungbier z. Grünschlauchen</t>
  </si>
  <si>
    <t>Menge an Zucker zum Ausgleich</t>
  </si>
  <si>
    <t xml:space="preserve">  Berechnete Speisemenge zur Aufspeisung</t>
  </si>
  <si>
    <t xml:space="preserve">  Der Speise entsprechende Zuckermenge</t>
  </si>
  <si>
    <t>Tabelle 9.4: Alkoholbestimmung per Refraktometer</t>
  </si>
  <si>
    <t>Umrechnung Brix% nach °P</t>
  </si>
  <si>
    <t>Einheitenumrechner</t>
  </si>
  <si>
    <t>Vergärgrad des Jungbier (scheinbarer)</t>
  </si>
  <si>
    <t xml:space="preserve">         ==&gt;     scheinb. Ausstoßvergärgrad</t>
  </si>
  <si>
    <t xml:space="preserve">  tatsächl. Restextrakt im fert. Bier</t>
  </si>
  <si>
    <t xml:space="preserve">         ==&gt;     wirklicher Ausstoßvergärgrad</t>
  </si>
  <si>
    <t>pro 100 g</t>
  </si>
  <si>
    <t>Tabelle 9.3: Berechnung des Restextrakt zum Grünschlauchen sowie Speiseberechnung und Carbonisierung mit Zucker</t>
  </si>
  <si>
    <t xml:space="preserve">  Jungbiermenge</t>
  </si>
  <si>
    <t xml:space="preserve">    Konz. kann sein:</t>
  </si>
  <si>
    <t>Konzentration, Wasserhärte, Temperatur, Bitterwert, a-Gehalt ...</t>
  </si>
  <si>
    <t>Tabelle 9.14: Berechnung der Bierfarbe bei einer Zufärbung von</t>
  </si>
  <si>
    <t xml:space="preserve">    EBC</t>
  </si>
  <si>
    <t xml:space="preserve"> Refraktometerablesung während Gärung (Brix%)</t>
  </si>
  <si>
    <t xml:space="preserve"> berechneter Spindelwert bei 20°C</t>
  </si>
  <si>
    <t xml:space="preserve"> berechneter Alkoholgehalt in Vol%</t>
  </si>
  <si>
    <r>
      <t>Tabelle 9.5: Berechnung des gelösten CO</t>
    </r>
    <r>
      <rPr>
        <vertAlign val="subscript"/>
        <sz val="10"/>
        <color indexed="9"/>
        <rFont val="Arial"/>
        <family val="2"/>
      </rPr>
      <t>2</t>
    </r>
    <r>
      <rPr>
        <sz val="10"/>
        <color indexed="9"/>
        <rFont val="Arial"/>
        <family val="2"/>
      </rPr>
      <t xml:space="preserve"> im Bier</t>
    </r>
  </si>
  <si>
    <t>Tabelle 9.6: Brauwasseraufbereitung mittels Entsalzung, Aufsalzung und Milchsäuregabe. Einstellen der Restalkalität RA.</t>
  </si>
  <si>
    <t>1.</t>
  </si>
  <si>
    <t>2.</t>
  </si>
  <si>
    <t>3.</t>
  </si>
  <si>
    <t>4.</t>
  </si>
  <si>
    <t>Wasserwerte</t>
  </si>
  <si>
    <t>Nach Um-</t>
  </si>
  <si>
    <t>RA nach</t>
  </si>
  <si>
    <t>vom</t>
  </si>
  <si>
    <t>kehrosmose,</t>
  </si>
  <si>
    <t>Aufsalzung</t>
  </si>
  <si>
    <t>°C</t>
  </si>
  <si>
    <t>Gabe von</t>
  </si>
  <si>
    <t>Wasserwerk</t>
  </si>
  <si>
    <t>Verschnitt mit</t>
  </si>
  <si>
    <r>
      <t xml:space="preserve"> SO</t>
    </r>
    <r>
      <rPr>
        <vertAlign val="subscript"/>
        <sz val="6"/>
        <rFont val="Arial"/>
        <family val="2"/>
      </rPr>
      <t xml:space="preserve">4 </t>
    </r>
    <r>
      <rPr>
        <vertAlign val="superscript"/>
        <sz val="6"/>
        <rFont val="Arial"/>
        <family val="2"/>
      </rPr>
      <t xml:space="preserve">2- </t>
    </r>
    <r>
      <rPr>
        <sz val="6"/>
        <rFont val="Arial"/>
        <family val="2"/>
      </rPr>
      <t>&lt;180 mg/L</t>
    </r>
  </si>
  <si>
    <t>Milchsäure</t>
  </si>
  <si>
    <t>dest. Wasser</t>
  </si>
  <si>
    <t>Tabelle 9.9: Würzemenge in Abhängigkeit von Masse und Extrakt</t>
  </si>
  <si>
    <t xml:space="preserve"> Extrakt</t>
  </si>
  <si>
    <t xml:space="preserve"> Gewicht der Würze</t>
  </si>
  <si>
    <t xml:space="preserve"> Volumen bei 20°C</t>
  </si>
  <si>
    <t>Tabelle 9.10: Berechnung der Hopfenbittere der Würze (basierend auf der Glenn Tinseth-Formel)</t>
  </si>
  <si>
    <t xml:space="preserve">  Extraktgehalt der Ausschlagwürze</t>
  </si>
  <si>
    <t>a-Säure</t>
  </si>
  <si>
    <t>Ausnutzung</t>
  </si>
  <si>
    <t>Pellets</t>
  </si>
  <si>
    <t>Extrakt</t>
  </si>
  <si>
    <t>Kombinat</t>
  </si>
  <si>
    <t>▼</t>
  </si>
  <si>
    <t xml:space="preserve">  Ausschlagwürze-Menge</t>
  </si>
  <si>
    <t xml:space="preserve">  Berechnete Bittere der Ausschlagwürze</t>
  </si>
  <si>
    <t xml:space="preserve">  Stammwürzgehalt</t>
  </si>
  <si>
    <t xml:space="preserve">  Berechnete Bittere der Stammwürze (Stw.)</t>
  </si>
  <si>
    <t>Tabelle 9.11: Berechnung der Hopfenmenge (basierend auf der Glenn Tinseth-Formel) für eine Ausschlagwürze von:</t>
  </si>
  <si>
    <t>Alphasäure</t>
  </si>
  <si>
    <t>Bitterstoffmenge</t>
  </si>
  <si>
    <t>Menge Dolden</t>
  </si>
  <si>
    <t>Menge Pellets</t>
  </si>
  <si>
    <t>Menge Extrakt</t>
  </si>
  <si>
    <t xml:space="preserve">  Gabe I</t>
  </si>
  <si>
    <t xml:space="preserve">  Gabe II</t>
  </si>
  <si>
    <t xml:space="preserve">  Gabe III</t>
  </si>
  <si>
    <t>Tabelle 9.12: Hopfenumrechner (der Hopfen soll durch eine Sorte mit anderem a-Gehalt ersetzt werden)</t>
  </si>
  <si>
    <t>Alphasäure-Gehalt</t>
  </si>
  <si>
    <t xml:space="preserve">  Hopfen</t>
  </si>
  <si>
    <t xml:space="preserve">  Zusammensetzung der Schüttung</t>
  </si>
  <si>
    <t>Menge in kg</t>
  </si>
  <si>
    <t>Farbe EBC</t>
  </si>
  <si>
    <t xml:space="preserve">Schüttungsanteil </t>
  </si>
  <si>
    <t xml:space="preserve">  Sorte 1</t>
  </si>
  <si>
    <t xml:space="preserve">  Sorte 2</t>
  </si>
  <si>
    <t xml:space="preserve">  Sorte 3</t>
  </si>
  <si>
    <t xml:space="preserve">  Sorte 4</t>
  </si>
  <si>
    <t xml:space="preserve">  Sorte 5</t>
  </si>
  <si>
    <t xml:space="preserve">  Sorte 6</t>
  </si>
  <si>
    <t xml:space="preserve">  resultierende Bierfarbe</t>
  </si>
  <si>
    <t>Pounds (lbs.)</t>
  </si>
  <si>
    <t>Volumenausdehnung Würze</t>
  </si>
  <si>
    <t>Gärkellerausbeute</t>
  </si>
  <si>
    <t>Würzemenge (abh. von Gewicht u. Extrakt)</t>
  </si>
  <si>
    <t>9.9</t>
  </si>
  <si>
    <t>Gärkellervergärgrad (scheinbarer)</t>
  </si>
  <si>
    <t>Zylindervolumen</t>
  </si>
  <si>
    <t>9.15</t>
  </si>
  <si>
    <t>Tabelle 9.1: Dichteberechnung</t>
  </si>
  <si>
    <t xml:space="preserve"> SG-Aräometer</t>
  </si>
  <si>
    <t xml:space="preserve"> Dichte bei 20°C</t>
  </si>
  <si>
    <t xml:space="preserve"> Extrakt der Würze</t>
  </si>
  <si>
    <t>Tabelle 9.2: Alkoholberechnung, diverse Vergärgrade, Dichte, Brennwert</t>
  </si>
  <si>
    <t xml:space="preserve">        ==&gt;    scheinb. Endvergärungsgrad (EVG)</t>
  </si>
  <si>
    <t xml:space="preserve">        ==&gt;     scheinb. Vergärgrad d. Jungbier</t>
  </si>
  <si>
    <t xml:space="preserve">        ==&gt;     scheinb. Gärkellervergärgrad</t>
  </si>
  <si>
    <t xml:space="preserve">  Ersatzhopfen</t>
  </si>
  <si>
    <t>Tabelle 9.13: Mischungsrechnung  ( nach der Formel: m1 x C1 + m2 x C2 = C3 x (m1 + m2) )</t>
  </si>
  <si>
    <t>erste Komponente</t>
  </si>
  <si>
    <t>zweite Komponente</t>
  </si>
  <si>
    <t>Resultat</t>
  </si>
  <si>
    <t>Menge I</t>
  </si>
  <si>
    <t>Konz. I</t>
  </si>
  <si>
    <t>Menge II</t>
  </si>
  <si>
    <t>Konz. II</t>
  </si>
  <si>
    <t>Gesamtmenge</t>
  </si>
  <si>
    <t>Endkonzentration</t>
  </si>
  <si>
    <t xml:space="preserve">  beide Komp. sind bekannt</t>
  </si>
  <si>
    <t xml:space="preserve">  Menge einer Komp. ist unbekannt</t>
  </si>
  <si>
    <t xml:space="preserve">  Konz. einer Komp. ist unbekannt</t>
  </si>
  <si>
    <t xml:space="preserve">   Menge kann sein:</t>
  </si>
  <si>
    <t>entweder Volumen oder Masse</t>
  </si>
  <si>
    <t>zoll</t>
  </si>
  <si>
    <t>Tabelle 9.18: High-Gravity-Verfahren (Erzielung einer größeren Biermenge durch Verdünnen einer konzentrierten Würze mit Wasser)</t>
  </si>
  <si>
    <t xml:space="preserve">  Herzustellende Anstellwürze</t>
  </si>
  <si>
    <t xml:space="preserve">  mit einem Stammwürzgehalt von</t>
  </si>
  <si>
    <t xml:space="preserve">  und einer Bittere von</t>
  </si>
  <si>
    <t xml:space="preserve">  Zu verdünnende Würzemenge</t>
  </si>
  <si>
    <t xml:space="preserve">  Benötigte Wassermenge zum Verdünnen</t>
  </si>
  <si>
    <t>Tabelle 9.15: Volumen eines zylinderförmigen Gefäß</t>
  </si>
  <si>
    <t>Tabelle 9.16: Flüssigkeitsmenge im Zylinder nach 9.15</t>
  </si>
  <si>
    <t xml:space="preserve">  Gefäßhöhe</t>
  </si>
  <si>
    <t>mm</t>
  </si>
  <si>
    <t xml:space="preserve">  Gefäßdurchmesser</t>
  </si>
  <si>
    <t xml:space="preserve">  Abstand Gefäßrand - Flüssigkeitspiegel</t>
  </si>
  <si>
    <t xml:space="preserve">  berechnetes Volumen</t>
  </si>
  <si>
    <t xml:space="preserve">  Inhalt Flüssigkeitsmenge bei 20 °C</t>
  </si>
  <si>
    <t>Tabelle 9.17: Umrechnungen</t>
  </si>
  <si>
    <t>Fahrenheit</t>
  </si>
  <si>
    <t>inch</t>
  </si>
  <si>
    <t>US-Gallone</t>
  </si>
  <si>
    <t>gramm</t>
  </si>
  <si>
    <t>ounze (oz.)</t>
  </si>
  <si>
    <t>Menge</t>
  </si>
  <si>
    <t>Kochdauer</t>
  </si>
  <si>
    <t>Hopfen</t>
  </si>
  <si>
    <t>Dolden</t>
  </si>
  <si>
    <t>Liter</t>
  </si>
  <si>
    <t xml:space="preserve"> Volumen</t>
  </si>
  <si>
    <t>kg</t>
  </si>
  <si>
    <t>Malzsorte</t>
  </si>
  <si>
    <t>Temperatur</t>
  </si>
  <si>
    <t>Die Verknüpfung konnte nicht aktualisiert werden.</t>
  </si>
  <si>
    <t>Datei:</t>
  </si>
  <si>
    <t>file:///home/Nu/Desktop/Sud%20006.sxc</t>
  </si>
  <si>
    <t>Rezept</t>
  </si>
  <si>
    <t xml:space="preserve">  physiologischer Brennwert</t>
  </si>
  <si>
    <t xml:space="preserve">  Stammwürze</t>
  </si>
  <si>
    <t xml:space="preserve">  Restextrakt (Schnellgärprobe)</t>
  </si>
  <si>
    <t xml:space="preserve">  Extr. kurz vor dem Schlauchen</t>
  </si>
  <si>
    <t xml:space="preserve">  Extrakt nach Speisegabe</t>
  </si>
  <si>
    <t xml:space="preserve">  Restextrakt im fertigen Bier</t>
  </si>
  <si>
    <t xml:space="preserve">  Dichte bei 20°C</t>
  </si>
  <si>
    <t xml:space="preserve">  </t>
  </si>
  <si>
    <t xml:space="preserve">  Alkoholgehalt in Gew.-%</t>
  </si>
  <si>
    <t xml:space="preserve">  Alkoholgehalt in Vol.-%</t>
  </si>
  <si>
    <r>
      <t>CO</t>
    </r>
    <r>
      <rPr>
        <vertAlign val="subscript"/>
        <sz val="10"/>
        <rFont val="Arial"/>
        <family val="2"/>
      </rPr>
      <t>2</t>
    </r>
    <r>
      <rPr>
        <sz val="10"/>
        <rFont val="Arial"/>
        <family val="2"/>
      </rPr>
      <t>-Gehalt</t>
    </r>
  </si>
  <si>
    <r>
      <t>CO</t>
    </r>
    <r>
      <rPr>
        <vertAlign val="subscript"/>
        <sz val="10"/>
        <rFont val="Arial"/>
        <family val="2"/>
      </rPr>
      <t>2</t>
    </r>
    <r>
      <rPr>
        <sz val="10"/>
        <rFont val="Arial"/>
        <family val="2"/>
      </rPr>
      <t>-Druck</t>
    </r>
  </si>
  <si>
    <t>Glenn Tinseth-Formel</t>
  </si>
  <si>
    <t>9.10</t>
  </si>
  <si>
    <t>Alkoholgehalt in Gew.-%</t>
  </si>
  <si>
    <t>Grünschlauchen (Extraktgehalt)</t>
  </si>
  <si>
    <t>9.3</t>
  </si>
  <si>
    <t>Aufsalzung (Brauwasser)</t>
  </si>
  <si>
    <t>High-Gravity-Verfahren</t>
  </si>
  <si>
    <t>9.18</t>
  </si>
  <si>
    <t>Ausstoßvergärgrad (scheinbarer)</t>
  </si>
  <si>
    <t>Hopfenbittere der Würze</t>
  </si>
  <si>
    <t>Ausstoßvergärgrad (tatsächlicher)</t>
  </si>
  <si>
    <t>Hopfenmenge (Hopfung)</t>
  </si>
  <si>
    <t>9.11</t>
  </si>
  <si>
    <t>Bierfarbe-Berechnung</t>
  </si>
  <si>
    <t>9.14</t>
  </si>
  <si>
    <t>Hopfenumrechner</t>
  </si>
  <si>
    <t>9.12</t>
  </si>
  <si>
    <t>Bittere der Ausschlagwürze</t>
  </si>
  <si>
    <t>9.10 u. 9.11</t>
  </si>
  <si>
    <t>IBU</t>
  </si>
  <si>
    <t>Diese Software ist Freeware. Sie darf nach Belieben weitergegeben werden, solange dies ohne kommerziellen Hintergrund und gebürenfrei geschieht und der Hinweis  auf den Autor sowie auf den Fundort erhalten bleibt.</t>
  </si>
  <si>
    <t>Berechnungen für´s Bierbrauen</t>
  </si>
  <si>
    <t>Datum 22. Juli 2009</t>
  </si>
  <si>
    <t>Hinweis:</t>
  </si>
  <si>
    <r>
      <t>Gewährleistungsbeschränkung:</t>
    </r>
    <r>
      <rPr>
        <sz val="8"/>
        <color indexed="9"/>
        <rFont val="Arial"/>
        <family val="2"/>
      </rPr>
      <t xml:space="preserve">
Diese Software und ihre Dokumentation wird wie sie ist zur Verfügung gestellt. Da Fehlfunktionen auch bei ausführlich getesteter Software durch die Vielzahl an verschiedenen Rechnerkonfigurationen niemals ausgeschlossen werden können, übernimmt der Autor keinerlei Haftung für jedwede Folgeschäden, die sich durch direkten oder indirekten Einsatz der Software oder der Dokumentation ergeben. Uneingeschränkt ausgeschlossen ist vor allem die Haftung für Schäden aus entgangenem Gewinn, Betriebsunterbrechung, Verlust von Informationen und Daten und Schäden an anderer Software, auch wenn diese dem Autor bekannt sein sollten. Ausschließlich der Benutzer haftet für Folgen der Benutzung dieser Software.
</t>
    </r>
  </si>
  <si>
    <t xml:space="preserve"> Stammwürzgehalt (°P)</t>
  </si>
  <si>
    <t>© 2006 - 2011, Earl Scheid</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</si>
</sst>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g&quot;"/>
    <numFmt numFmtId="165" formatCode="0.0&quot; ltr.&quot;"/>
    <numFmt numFmtId="166" formatCode="0.0&quot; kg&quot;"/>
    <numFmt numFmtId="167" formatCode="0.0&quot; °C&quot;"/>
    <numFmt numFmtId="168" formatCode="0.0&quot; %&quot;"/>
    <numFmt numFmtId="169" formatCode="0.0000"/>
    <numFmt numFmtId="170" formatCode="0.0&quot; ml&quot;"/>
    <numFmt numFmtId="171" formatCode="0.0&quot; Ltr.&quot;"/>
    <numFmt numFmtId="172" formatCode="0.000"/>
    <numFmt numFmtId="173" formatCode="0.0&quot; °P&quot;"/>
    <numFmt numFmtId="174" formatCode="0.0&quot; Liter&quot;"/>
    <numFmt numFmtId="175" formatCode="0&quot; min.&quot;"/>
    <numFmt numFmtId="176" formatCode="0.0&quot; IBU&quot;"/>
    <numFmt numFmtId="177" formatCode="0.0&quot; g&quot;"/>
    <numFmt numFmtId="178" formatCode="0.0"/>
    <numFmt numFmtId="179" formatCode="0.0&quot; mmol/L&quot;"/>
    <numFmt numFmtId="180" formatCode="0&quot; mg/L&quot;"/>
    <numFmt numFmtId="181" formatCode="0.0&quot; °dH&quot;"/>
    <numFmt numFmtId="182" formatCode="0.0&quot;°dH&quot;"/>
    <numFmt numFmtId="183" formatCode="\(0.0&quot; %)&quot;"/>
    <numFmt numFmtId="184" formatCode="0.000&quot; g/ml&quot;"/>
    <numFmt numFmtId="185" formatCode="0&quot; kcal&quot;"/>
    <numFmt numFmtId="186" formatCode="0.0&quot; g CO2/l&quot;"/>
    <numFmt numFmtId="187" formatCode="0.00&quot; %&quot;"/>
    <numFmt numFmtId="188" formatCode="0.00&quot; Ltr.&quot;"/>
    <numFmt numFmtId="189" formatCode="0.0&quot; bar&quot;"/>
    <numFmt numFmtId="190" formatCode="0.0&quot; g/l&quot;"/>
    <numFmt numFmtId="191" formatCode="0.0000&quot; g/ml&quot;"/>
    <numFmt numFmtId="192" formatCode="0.000\ ;\-0.000\ "/>
    <numFmt numFmtId="193" formatCode="0.00&quot; °P&quot;"/>
    <numFmt numFmtId="194" formatCode="0.0\g"/>
    <numFmt numFmtId="195" formatCode="&quot;SG=&quot;0.0000"/>
    <numFmt numFmtId="196" formatCode="0&quot; min.  &quot;"/>
    <numFmt numFmtId="197" formatCode="0.0&quot;  EBC&quot;"/>
    <numFmt numFmtId="198" formatCode="&quot;Ja&quot;;&quot;Ja&quot;;&quot;Nein&quot;"/>
    <numFmt numFmtId="199" formatCode="&quot;Wahr&quot;;&quot;Wahr&quot;;&quot;Falsch&quot;"/>
    <numFmt numFmtId="200" formatCode="&quot;Ein&quot;;&quot;Ein&quot;;&quot;Aus&quot;"/>
  </numFmts>
  <fonts count="88">
    <font>
      <sz val="10"/>
      <name val="Arial"/>
      <family val="2"/>
    </font>
    <font>
      <sz val="12"/>
      <color indexed="26"/>
      <name val="Zapf Dingbats"/>
      <family val="0"/>
    </font>
    <font>
      <sz val="10"/>
      <color indexed="26"/>
      <name val="Arial"/>
      <family val="2"/>
    </font>
    <font>
      <sz val="10"/>
      <color indexed="33"/>
      <name val="Arial"/>
      <family val="2"/>
    </font>
    <font>
      <sz val="10"/>
      <color indexed="48"/>
      <name val="Arial"/>
      <family val="2"/>
    </font>
    <font>
      <sz val="10"/>
      <color indexed="56"/>
      <name val="Arial"/>
      <family val="2"/>
    </font>
    <font>
      <sz val="10"/>
      <color indexed="8"/>
      <name val="Arial"/>
      <family val="2"/>
    </font>
    <font>
      <sz val="10"/>
      <color indexed="42"/>
      <name val="Arial"/>
      <family val="2"/>
    </font>
    <font>
      <sz val="10"/>
      <color indexed="43"/>
      <name val="Arial"/>
      <family val="2"/>
    </font>
    <font>
      <sz val="10"/>
      <color indexed="20"/>
      <name val="Arial"/>
      <family val="2"/>
    </font>
    <font>
      <sz val="10"/>
      <color indexed="31"/>
      <name val="Arial"/>
      <family val="2"/>
    </font>
    <font>
      <sz val="8"/>
      <color indexed="31"/>
      <name val="Arial"/>
      <family val="2"/>
    </font>
    <font>
      <sz val="10"/>
      <color indexed="23"/>
      <name val="Arial"/>
      <family val="2"/>
    </font>
    <font>
      <sz val="8"/>
      <color indexed="23"/>
      <name val="Arial"/>
      <family val="2"/>
    </font>
    <font>
      <sz val="10"/>
      <color indexed="27"/>
      <name val="Zapf Dingbats"/>
      <family val="0"/>
    </font>
    <font>
      <sz val="10"/>
      <color indexed="47"/>
      <name val="Arial"/>
      <family val="2"/>
    </font>
    <font>
      <sz val="10"/>
      <color indexed="10"/>
      <name val="Arial"/>
      <family val="2"/>
    </font>
    <font>
      <sz val="6"/>
      <color indexed="10"/>
      <name val="Arial"/>
      <family val="2"/>
    </font>
    <font>
      <sz val="4"/>
      <color indexed="32"/>
      <name val="Zapf Dingbats"/>
      <family val="0"/>
    </font>
    <font>
      <sz val="10"/>
      <color indexed="45"/>
      <name val="Arial"/>
      <family val="2"/>
    </font>
    <font>
      <sz val="10.5"/>
      <name val="Arial"/>
      <family val="2"/>
    </font>
    <font>
      <sz val="10"/>
      <color indexed="53"/>
      <name val="Arial"/>
      <family val="2"/>
    </font>
    <font>
      <sz val="10"/>
      <color indexed="52"/>
      <name val="Arial"/>
      <family val="2"/>
    </font>
    <font>
      <sz val="8"/>
      <color indexed="52"/>
      <name val="Arial"/>
      <family val="2"/>
    </font>
    <font>
      <sz val="11"/>
      <color indexed="47"/>
      <name val="Arial"/>
      <family val="2"/>
    </font>
    <font>
      <sz val="6"/>
      <color indexed="8"/>
      <name val="Arial"/>
      <family val="2"/>
    </font>
    <font>
      <sz val="8"/>
      <color indexed="8"/>
      <name val="Arial"/>
      <family val="2"/>
    </font>
    <font>
      <sz val="10"/>
      <color indexed="34"/>
      <name val="Zapf Dingbats"/>
      <family val="0"/>
    </font>
    <font>
      <sz val="10"/>
      <color indexed="8"/>
      <name val="Zapf Dingbats"/>
      <family val="0"/>
    </font>
    <font>
      <sz val="10"/>
      <color indexed="9"/>
      <name val="Arial"/>
      <family val="2"/>
    </font>
    <font>
      <sz val="8"/>
      <name val="Arial"/>
      <family val="2"/>
    </font>
    <font>
      <sz val="6"/>
      <name val="Arial"/>
      <family val="2"/>
    </font>
    <font>
      <sz val="14"/>
      <color indexed="9"/>
      <name val="Arial"/>
      <family val="2"/>
    </font>
    <font>
      <u val="single"/>
      <sz val="10"/>
      <color indexed="9"/>
      <name val="Arial"/>
      <family val="2"/>
    </font>
    <font>
      <sz val="9"/>
      <name val="Arial"/>
      <family val="2"/>
    </font>
    <font>
      <sz val="6"/>
      <color indexed="32"/>
      <name val="Arial"/>
      <family val="2"/>
    </font>
    <font>
      <sz val="10"/>
      <color indexed="32"/>
      <name val="Arial"/>
      <family val="2"/>
    </font>
    <font>
      <b/>
      <sz val="8"/>
      <color indexed="8"/>
      <name val="Arial"/>
      <family val="2"/>
    </font>
    <font>
      <sz val="9"/>
      <color indexed="10"/>
      <name val="Arial"/>
      <family val="2"/>
    </font>
    <font>
      <vertAlign val="superscript"/>
      <sz val="6"/>
      <name val="Arial"/>
      <family val="2"/>
    </font>
    <font>
      <sz val="10"/>
      <color indexed="12"/>
      <name val="Arial"/>
      <family val="2"/>
    </font>
    <font>
      <vertAlign val="subscript"/>
      <sz val="10"/>
      <name val="Arial"/>
      <family val="2"/>
    </font>
    <font>
      <sz val="2"/>
      <color indexed="32"/>
      <name val="Arial"/>
      <family val="2"/>
    </font>
    <font>
      <sz val="4"/>
      <color indexed="32"/>
      <name val="Arial"/>
      <family val="2"/>
    </font>
    <font>
      <u val="single"/>
      <sz val="12"/>
      <color indexed="9"/>
      <name val="Arial"/>
      <family val="2"/>
    </font>
    <font>
      <vertAlign val="subscript"/>
      <sz val="10"/>
      <color indexed="9"/>
      <name val="Arial"/>
      <family val="2"/>
    </font>
    <font>
      <vertAlign val="subscript"/>
      <sz val="6"/>
      <name val="Arial"/>
      <family val="2"/>
    </font>
    <font>
      <vertAlign val="superscript"/>
      <sz val="10"/>
      <name val="Arial"/>
      <family val="2"/>
    </font>
    <font>
      <u val="single"/>
      <sz val="12"/>
      <color indexed="12"/>
      <name val="Arial"/>
      <family val="2"/>
    </font>
    <font>
      <u val="single"/>
      <sz val="12"/>
      <color indexed="36"/>
      <name val="Arial"/>
      <family val="2"/>
    </font>
    <font>
      <sz val="10"/>
      <color indexed="9"/>
      <name val="Verdana"/>
      <family val="2"/>
    </font>
    <font>
      <sz val="8"/>
      <color indexed="9"/>
      <name val="Arial"/>
      <family val="2"/>
    </font>
    <font>
      <b/>
      <sz val="8"/>
      <color indexed="9"/>
      <name val="Arial"/>
      <family val="2"/>
    </font>
    <font>
      <sz val="8"/>
      <name val="Tahoma"/>
      <family val="0"/>
    </font>
    <font>
      <sz val="18"/>
      <color indexed="63"/>
      <name val="Calibri Light"/>
      <family val="2"/>
    </font>
    <font>
      <b/>
      <sz val="15"/>
      <color indexed="63"/>
      <name val="Calibri"/>
      <family val="2"/>
    </font>
    <font>
      <b/>
      <sz val="13"/>
      <color indexed="63"/>
      <name val="Calibri"/>
      <family val="2"/>
    </font>
    <font>
      <b/>
      <sz val="11"/>
      <color indexed="63"/>
      <name val="Calibri"/>
      <family val="2"/>
    </font>
    <font>
      <sz val="11"/>
      <color indexed="11"/>
      <name val="Calibri"/>
      <family val="2"/>
    </font>
    <font>
      <sz val="11"/>
      <color indexed="36"/>
      <name val="Calibri"/>
      <family val="2"/>
    </font>
    <font>
      <sz val="11"/>
      <color indexed="60"/>
      <name val="Calibri"/>
      <family val="2"/>
    </font>
    <font>
      <sz val="11"/>
      <color indexed="63"/>
      <name val="Calibri"/>
      <family val="2"/>
    </font>
    <font>
      <b/>
      <sz val="11"/>
      <color indexed="16"/>
      <name val="Calibri"/>
      <family val="2"/>
    </font>
    <font>
      <sz val="11"/>
      <color indexed="16"/>
      <name val="Calibri"/>
      <family val="2"/>
    </font>
    <font>
      <b/>
      <sz val="11"/>
      <color indexed="9"/>
      <name val="Calibri"/>
      <family val="2"/>
    </font>
    <font>
      <sz val="11"/>
      <color indexed="10"/>
      <name val="Calibri"/>
      <family val="2"/>
    </font>
    <font>
      <i/>
      <sz val="11"/>
      <color indexed="55"/>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6"/>
        <bgColor indexed="64"/>
      </patternFill>
    </fill>
    <fill>
      <patternFill patternType="solid">
        <fgColor indexed="33"/>
        <bgColor indexed="64"/>
      </patternFill>
    </fill>
    <fill>
      <patternFill patternType="solid">
        <fgColor rgb="FFFFCC99"/>
        <bgColor indexed="64"/>
      </patternFill>
    </fill>
    <fill>
      <patternFill patternType="solid">
        <fgColor indexed="48"/>
        <bgColor indexed="64"/>
      </patternFill>
    </fill>
    <fill>
      <patternFill patternType="solid">
        <fgColor indexed="56"/>
        <bgColor indexed="64"/>
      </patternFill>
    </fill>
    <fill>
      <patternFill patternType="solid">
        <fgColor indexed="42"/>
        <bgColor indexed="64"/>
      </patternFill>
    </fill>
    <fill>
      <patternFill patternType="solid">
        <fgColor indexed="43"/>
        <bgColor indexed="64"/>
      </patternFill>
    </fill>
    <fill>
      <patternFill patternType="solid">
        <fgColor indexed="20"/>
        <bgColor indexed="64"/>
      </patternFill>
    </fill>
    <fill>
      <patternFill patternType="solid">
        <fgColor rgb="FFC6EFCE"/>
        <bgColor indexed="64"/>
      </patternFill>
    </fill>
    <fill>
      <patternFill patternType="solid">
        <fgColor indexed="27"/>
        <bgColor indexed="64"/>
      </patternFill>
    </fill>
    <fill>
      <patternFill patternType="solid">
        <fgColor indexed="47"/>
        <bgColor indexed="64"/>
      </patternFill>
    </fill>
    <fill>
      <patternFill patternType="solid">
        <fgColor indexed="10"/>
        <bgColor indexed="64"/>
      </patternFill>
    </fill>
    <fill>
      <patternFill patternType="solid">
        <fgColor indexed="32"/>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53"/>
        <bgColor indexed="64"/>
      </patternFill>
    </fill>
    <fill>
      <patternFill patternType="solid">
        <fgColor rgb="FFFFC7CE"/>
        <bgColor indexed="64"/>
      </patternFill>
    </fill>
    <fill>
      <patternFill patternType="solid">
        <fgColor indexed="52"/>
        <bgColor indexed="64"/>
      </patternFill>
    </fill>
    <fill>
      <patternFill patternType="solid">
        <fgColor indexed="9"/>
        <bgColor indexed="64"/>
      </patternFill>
    </fill>
    <fill>
      <patternFill patternType="solid">
        <fgColor rgb="FFA5A5A5"/>
        <bgColor indexed="64"/>
      </patternFill>
    </fill>
    <fill>
      <patternFill patternType="solid">
        <fgColor indexed="32"/>
        <bgColor indexed="64"/>
      </patternFill>
    </fill>
    <fill>
      <patternFill patternType="solid">
        <fgColor indexed="22"/>
        <bgColor indexed="64"/>
      </patternFill>
    </fill>
    <fill>
      <patternFill patternType="solid">
        <fgColor indexed="46"/>
        <bgColor indexed="64"/>
      </patternFill>
    </fill>
    <fill>
      <patternFill patternType="solid">
        <fgColor indexed="21"/>
        <bgColor indexed="64"/>
      </patternFill>
    </fill>
    <fill>
      <patternFill patternType="solid">
        <fgColor indexed="31"/>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style="thin">
        <color rgb="FFB2B2B2"/>
      </left>
      <right style="thin">
        <color rgb="FFB2B2B2"/>
      </right>
      <top style="thin">
        <color rgb="FFB2B2B2"/>
      </top>
      <bottom style="thin">
        <color rgb="FFB2B2B2"/>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2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6" borderId="2" applyNumberFormat="0" applyAlignment="0" applyProtection="0"/>
    <xf numFmtId="0" fontId="49" fillId="0" borderId="0" applyNumberFormat="0" applyFill="0" applyBorder="0" applyAlignment="0" applyProtection="0"/>
    <xf numFmtId="49" fontId="1" fillId="27" borderId="0" applyBorder="0" applyAlignment="0">
      <protection hidden="1"/>
    </xf>
    <xf numFmtId="49" fontId="1" fillId="27" borderId="0" applyBorder="0" applyAlignment="0">
      <protection hidden="1"/>
    </xf>
    <xf numFmtId="49" fontId="1" fillId="27" borderId="0" applyBorder="0" applyAlignment="0">
      <protection hidden="1"/>
    </xf>
    <xf numFmtId="49" fontId="1" fillId="27" borderId="0" applyBorder="0" applyAlignment="0">
      <protection hidden="1"/>
    </xf>
    <xf numFmtId="49" fontId="1" fillId="27" borderId="0" applyBorder="0" applyAlignment="0">
      <protection hidden="1"/>
    </xf>
    <xf numFmtId="49" fontId="1" fillId="27" borderId="0" applyBorder="0" applyAlignment="0">
      <protection hidden="1"/>
    </xf>
    <xf numFmtId="49" fontId="1" fillId="27" borderId="0" applyBorder="0" applyAlignment="0">
      <protection hidden="1"/>
    </xf>
    <xf numFmtId="49" fontId="1" fillId="27" borderId="0" applyBorder="0" applyAlignment="0">
      <protection hidden="1"/>
    </xf>
    <xf numFmtId="49" fontId="1" fillId="27" borderId="0" applyBorder="0" applyAlignment="0">
      <protection hidden="1"/>
    </xf>
    <xf numFmtId="49" fontId="1" fillId="27" borderId="0" applyBorder="0" applyAlignment="0">
      <protection hidden="1"/>
    </xf>
    <xf numFmtId="49" fontId="1" fillId="27" borderId="0" applyBorder="0" applyAlignment="0">
      <protection hidden="1"/>
    </xf>
    <xf numFmtId="49" fontId="2" fillId="27" borderId="0" applyBorder="0">
      <alignment horizontal="left" vertical="center"/>
      <protection hidden="1"/>
    </xf>
    <xf numFmtId="0" fontId="3" fillId="28" borderId="0" applyNumberFormat="0" applyBorder="0" applyAlignment="0">
      <protection hidden="1"/>
    </xf>
    <xf numFmtId="41" fontId="0" fillId="0" borderId="0" applyFill="0" applyBorder="0" applyAlignment="0" applyProtection="0"/>
    <xf numFmtId="0" fontId="74" fillId="29"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164" fontId="4" fillId="30" borderId="4">
      <alignment horizontal="center"/>
      <protection hidden="1"/>
    </xf>
    <xf numFmtId="164" fontId="5" fillId="31" borderId="4">
      <alignment horizontal="center"/>
      <protection hidden="1"/>
    </xf>
    <xf numFmtId="0" fontId="6" fillId="31" borderId="0" applyNumberFormat="0" applyBorder="0" applyAlignment="0" applyProtection="0"/>
    <xf numFmtId="164" fontId="7" fillId="32" borderId="4">
      <alignment horizontal="center"/>
      <protection hidden="1"/>
    </xf>
    <xf numFmtId="0" fontId="6" fillId="32" borderId="0" applyNumberFormat="0" applyBorder="0" applyAlignment="0" applyProtection="0"/>
    <xf numFmtId="1" fontId="8" fillId="33" borderId="0" applyBorder="0" applyAlignment="0" applyProtection="0"/>
    <xf numFmtId="1" fontId="8" fillId="33" borderId="0" applyBorder="0" applyAlignment="0" applyProtection="0"/>
    <xf numFmtId="1" fontId="8" fillId="33" borderId="0" applyBorder="0" applyAlignment="0" applyProtection="0"/>
    <xf numFmtId="1" fontId="8" fillId="33" borderId="0" applyBorder="0" applyAlignment="0" applyProtection="0"/>
    <xf numFmtId="1" fontId="8" fillId="33" borderId="0" applyBorder="0" applyAlignment="0" applyProtection="0"/>
    <xf numFmtId="1" fontId="8" fillId="33" borderId="0" applyBorder="0" applyAlignment="0" applyProtection="0"/>
    <xf numFmtId="1" fontId="8" fillId="33" borderId="0" applyBorder="0" applyAlignment="0" applyProtection="0"/>
    <xf numFmtId="1" fontId="8" fillId="33" borderId="0" applyBorder="0" applyAlignment="0" applyProtection="0"/>
    <xf numFmtId="1" fontId="8" fillId="33" borderId="0" applyBorder="0" applyAlignment="0" applyProtection="0"/>
    <xf numFmtId="1" fontId="8" fillId="33" borderId="0" applyBorder="0" applyAlignment="0" applyProtection="0"/>
    <xf numFmtId="1" fontId="8" fillId="33" borderId="0" applyBorder="0" applyAlignment="0" applyProtection="0"/>
    <xf numFmtId="0" fontId="9" fillId="34" borderId="0" applyNumberFormat="0" applyBorder="0">
      <alignment vertical="center"/>
      <protection hidden="1"/>
    </xf>
    <xf numFmtId="1" fontId="10" fillId="0" borderId="0" applyFill="0" applyBorder="0" applyAlignment="0" applyProtection="0"/>
    <xf numFmtId="1" fontId="11" fillId="0" borderId="0" applyFill="0" applyBorder="0" applyAlignment="0" applyProtection="0"/>
    <xf numFmtId="1" fontId="11" fillId="0" borderId="0" applyFill="0" applyBorder="0" applyAlignment="0" applyProtection="0"/>
    <xf numFmtId="1" fontId="11" fillId="0" borderId="0" applyFill="0" applyBorder="0" applyAlignment="0" applyProtection="0"/>
    <xf numFmtId="1" fontId="11" fillId="0" borderId="0" applyFill="0" applyBorder="0" applyAlignment="0" applyProtection="0"/>
    <xf numFmtId="1" fontId="11" fillId="0" borderId="0" applyFill="0" applyBorder="0" applyAlignment="0" applyProtection="0"/>
    <xf numFmtId="1" fontId="11" fillId="0" borderId="0" applyFill="0" applyBorder="0" applyAlignment="0" applyProtection="0"/>
    <xf numFmtId="1" fontId="11" fillId="0" borderId="0" applyFill="0" applyBorder="0" applyAlignment="0" applyProtection="0"/>
    <xf numFmtId="1" fontId="11" fillId="0" borderId="0" applyFill="0" applyBorder="0" applyAlignment="0" applyProtection="0"/>
    <xf numFmtId="1" fontId="11" fillId="0" borderId="0" applyFill="0" applyBorder="0" applyAlignment="0" applyProtection="0"/>
    <xf numFmtId="1" fontId="11" fillId="0" borderId="0" applyFill="0" applyBorder="0" applyAlignment="0" applyProtection="0"/>
    <xf numFmtId="1" fontId="12" fillId="0" borderId="0" applyFill="0" applyBorder="0" applyAlignment="0" applyProtection="0"/>
    <xf numFmtId="1" fontId="13" fillId="0" borderId="0" applyFill="0" applyBorder="0" applyAlignment="0" applyProtection="0"/>
    <xf numFmtId="1" fontId="13" fillId="0" borderId="0" applyFill="0" applyBorder="0" applyAlignment="0" applyProtection="0"/>
    <xf numFmtId="1" fontId="13" fillId="0" borderId="0" applyFill="0" applyBorder="0" applyAlignment="0" applyProtection="0"/>
    <xf numFmtId="1" fontId="13" fillId="0" borderId="0" applyFill="0" applyBorder="0" applyAlignment="0" applyProtection="0"/>
    <xf numFmtId="1" fontId="13" fillId="0" borderId="0" applyFill="0" applyBorder="0" applyAlignment="0" applyProtection="0"/>
    <xf numFmtId="1" fontId="13" fillId="0" borderId="0" applyFill="0" applyBorder="0" applyAlignment="0" applyProtection="0"/>
    <xf numFmtId="1" fontId="13" fillId="0" borderId="0" applyFill="0" applyBorder="0" applyAlignment="0" applyProtection="0"/>
    <xf numFmtId="1" fontId="13" fillId="0" borderId="0" applyFill="0" applyBorder="0" applyAlignment="0" applyProtection="0"/>
    <xf numFmtId="1" fontId="13" fillId="0" borderId="0" applyFill="0" applyBorder="0" applyAlignment="0" applyProtection="0"/>
    <xf numFmtId="1" fontId="13" fillId="0" borderId="0" applyFill="0" applyBorder="0" applyAlignment="0" applyProtection="0"/>
    <xf numFmtId="0" fontId="77" fillId="35" borderId="0" applyNumberFormat="0" applyBorder="0" applyAlignment="0" applyProtection="0"/>
    <xf numFmtId="49" fontId="14" fillId="36" borderId="0" applyBorder="0" applyAlignment="0">
      <protection hidden="1"/>
    </xf>
    <xf numFmtId="49" fontId="14" fillId="36" borderId="0" applyBorder="0" applyAlignment="0">
      <protection hidden="1"/>
    </xf>
    <xf numFmtId="49" fontId="14" fillId="36" borderId="0" applyBorder="0" applyAlignment="0">
      <protection hidden="1"/>
    </xf>
    <xf numFmtId="49" fontId="14" fillId="36" borderId="0" applyBorder="0" applyAlignment="0">
      <protection hidden="1"/>
    </xf>
    <xf numFmtId="49" fontId="14" fillId="36" borderId="0" applyBorder="0" applyAlignment="0">
      <protection hidden="1"/>
    </xf>
    <xf numFmtId="49" fontId="14" fillId="36" borderId="0" applyBorder="0" applyAlignment="0">
      <protection hidden="1"/>
    </xf>
    <xf numFmtId="49" fontId="14" fillId="36" borderId="0" applyBorder="0" applyAlignment="0">
      <protection hidden="1"/>
    </xf>
    <xf numFmtId="49" fontId="14" fillId="36" borderId="0" applyBorder="0" applyAlignment="0">
      <protection hidden="1"/>
    </xf>
    <xf numFmtId="49" fontId="14" fillId="36" borderId="0" applyBorder="0" applyAlignment="0">
      <protection hidden="1"/>
    </xf>
    <xf numFmtId="49" fontId="14" fillId="36" borderId="0" applyBorder="0" applyAlignment="0">
      <protection hidden="1"/>
    </xf>
    <xf numFmtId="49" fontId="14" fillId="36" borderId="0" applyBorder="0" applyAlignment="0">
      <protection hidden="1"/>
    </xf>
    <xf numFmtId="0" fontId="15" fillId="37" borderId="0" applyNumberFormat="0" applyBorder="0" applyAlignment="0" applyProtection="0"/>
    <xf numFmtId="49" fontId="16" fillId="0" borderId="0" applyBorder="0" applyAlignment="0" applyProtection="0"/>
    <xf numFmtId="49" fontId="16" fillId="0" borderId="0" applyBorder="0" applyAlignment="0" applyProtection="0"/>
    <xf numFmtId="49" fontId="16" fillId="0" borderId="0" applyBorder="0" applyAlignment="0" applyProtection="0"/>
    <xf numFmtId="49" fontId="16" fillId="0" borderId="0" applyBorder="0" applyAlignment="0" applyProtection="0"/>
    <xf numFmtId="49" fontId="16" fillId="0" borderId="0" applyBorder="0" applyAlignment="0" applyProtection="0"/>
    <xf numFmtId="49" fontId="16" fillId="0" borderId="0" applyBorder="0" applyAlignment="0" applyProtection="0"/>
    <xf numFmtId="49" fontId="16" fillId="0" borderId="0" applyBorder="0" applyAlignment="0" applyProtection="0"/>
    <xf numFmtId="49" fontId="16" fillId="0" borderId="0" applyBorder="0" applyAlignment="0" applyProtection="0"/>
    <xf numFmtId="49" fontId="16" fillId="0" borderId="0" applyBorder="0" applyAlignment="0" applyProtection="0"/>
    <xf numFmtId="49" fontId="16" fillId="0" borderId="0" applyBorder="0" applyAlignment="0" applyProtection="0"/>
    <xf numFmtId="49" fontId="16" fillId="0" borderId="0" applyBorder="0" applyAlignment="0" applyProtection="0"/>
    <xf numFmtId="0" fontId="16" fillId="34" borderId="4" applyNumberFormat="0" applyAlignment="0">
      <protection hidden="1"/>
    </xf>
    <xf numFmtId="1" fontId="17" fillId="38" borderId="4">
      <alignment horizontal="center" vertical="center"/>
      <protection hidden="1"/>
    </xf>
    <xf numFmtId="49" fontId="18" fillId="39" borderId="0" applyBorder="0" applyAlignment="0" applyProtection="0"/>
    <xf numFmtId="49" fontId="18" fillId="39" borderId="0" applyBorder="0" applyAlignment="0" applyProtection="0"/>
    <xf numFmtId="49" fontId="18" fillId="39" borderId="0" applyBorder="0" applyAlignment="0" applyProtection="0"/>
    <xf numFmtId="49" fontId="18" fillId="39" borderId="0" applyBorder="0" applyAlignment="0" applyProtection="0"/>
    <xf numFmtId="49" fontId="18" fillId="39" borderId="0" applyBorder="0" applyAlignment="0" applyProtection="0"/>
    <xf numFmtId="49" fontId="18" fillId="39" borderId="0" applyBorder="0" applyAlignment="0" applyProtection="0"/>
    <xf numFmtId="49" fontId="18" fillId="39" borderId="0" applyBorder="0" applyAlignment="0" applyProtection="0"/>
    <xf numFmtId="49" fontId="18" fillId="39" borderId="0" applyBorder="0" applyAlignment="0" applyProtection="0"/>
    <xf numFmtId="49" fontId="18" fillId="39" borderId="0" applyBorder="0" applyAlignment="0" applyProtection="0"/>
    <xf numFmtId="49" fontId="18" fillId="39" borderId="0" applyBorder="0" applyAlignment="0" applyProtection="0"/>
    <xf numFmtId="49" fontId="18" fillId="39" borderId="0" applyBorder="0" applyAlignment="0" applyProtection="0"/>
    <xf numFmtId="43" fontId="0" fillId="0" borderId="0" applyFill="0" applyBorder="0" applyAlignment="0" applyProtection="0"/>
    <xf numFmtId="0" fontId="48" fillId="0" borderId="0" applyNumberFormat="0" applyFill="0" applyBorder="0" applyAlignment="0" applyProtection="0"/>
    <xf numFmtId="0" fontId="78" fillId="40" borderId="0" applyNumberFormat="0" applyBorder="0" applyAlignment="0" applyProtection="0"/>
    <xf numFmtId="0" fontId="0" fillId="41" borderId="5" applyNumberFormat="0" applyFont="0" applyAlignment="0" applyProtection="0"/>
    <xf numFmtId="49" fontId="19" fillId="42" borderId="0" applyBorder="0" applyAlignment="0" applyProtection="0"/>
    <xf numFmtId="49" fontId="19" fillId="42" borderId="0" applyBorder="0" applyAlignment="0" applyProtection="0"/>
    <xf numFmtId="49" fontId="19" fillId="42" borderId="0" applyBorder="0" applyAlignment="0" applyProtection="0"/>
    <xf numFmtId="49" fontId="19" fillId="42" borderId="0" applyBorder="0" applyAlignment="0" applyProtection="0"/>
    <xf numFmtId="49" fontId="19" fillId="42" borderId="0" applyBorder="0" applyAlignment="0" applyProtection="0"/>
    <xf numFmtId="49" fontId="19" fillId="42" borderId="0" applyBorder="0" applyAlignment="0" applyProtection="0"/>
    <xf numFmtId="49" fontId="19" fillId="42" borderId="0" applyBorder="0" applyAlignment="0" applyProtection="0"/>
    <xf numFmtId="49" fontId="19" fillId="42" borderId="0" applyBorder="0" applyAlignment="0" applyProtection="0"/>
    <xf numFmtId="49" fontId="19" fillId="42" borderId="0" applyBorder="0" applyAlignment="0" applyProtection="0"/>
    <xf numFmtId="49" fontId="19" fillId="42" borderId="0" applyBorder="0" applyAlignment="0" applyProtection="0"/>
    <xf numFmtId="49" fontId="19" fillId="42" borderId="0" applyBorder="0" applyAlignment="0" applyProtection="0"/>
    <xf numFmtId="49" fontId="19" fillId="0" borderId="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0" fillId="42" borderId="0" applyNumberFormat="0" applyBorder="0" applyAlignment="0" applyProtection="0"/>
    <xf numFmtId="49" fontId="21" fillId="43" borderId="0" applyBorder="0" applyAlignment="0" applyProtection="0"/>
    <xf numFmtId="49" fontId="21" fillId="43" borderId="0" applyBorder="0" applyAlignment="0" applyProtection="0"/>
    <xf numFmtId="49" fontId="21" fillId="43" borderId="0" applyBorder="0" applyAlignment="0" applyProtection="0"/>
    <xf numFmtId="49" fontId="21" fillId="43" borderId="0" applyBorder="0" applyAlignment="0" applyProtection="0"/>
    <xf numFmtId="49" fontId="21" fillId="43" borderId="0" applyBorder="0" applyAlignment="0" applyProtection="0"/>
    <xf numFmtId="49" fontId="21" fillId="43" borderId="0" applyBorder="0" applyAlignment="0" applyProtection="0"/>
    <xf numFmtId="49" fontId="21" fillId="43" borderId="0" applyBorder="0" applyAlignment="0" applyProtection="0"/>
    <xf numFmtId="49" fontId="21" fillId="43" borderId="0" applyBorder="0" applyAlignment="0" applyProtection="0"/>
    <xf numFmtId="49" fontId="21" fillId="43" borderId="0" applyBorder="0" applyAlignment="0" applyProtection="0"/>
    <xf numFmtId="49" fontId="21" fillId="43" borderId="0" applyBorder="0" applyAlignment="0" applyProtection="0"/>
    <xf numFmtId="49" fontId="21" fillId="43" borderId="0" applyBorder="0" applyAlignment="0" applyProtection="0"/>
    <xf numFmtId="1" fontId="22"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49" fontId="15" fillId="0" borderId="0" applyFill="0" applyBorder="0" applyAlignment="0" applyProtection="0"/>
    <xf numFmtId="49" fontId="24" fillId="0" borderId="0" applyFill="0" applyBorder="0" applyAlignment="0" applyProtection="0"/>
    <xf numFmtId="49" fontId="24" fillId="0" borderId="0" applyFill="0" applyBorder="0" applyAlignment="0" applyProtection="0"/>
    <xf numFmtId="49" fontId="24" fillId="0" borderId="0" applyFill="0" applyBorder="0" applyAlignment="0" applyProtection="0"/>
    <xf numFmtId="49" fontId="24" fillId="0" borderId="0" applyFill="0" applyBorder="0" applyAlignment="0" applyProtection="0"/>
    <xf numFmtId="49" fontId="24" fillId="0" borderId="0" applyFill="0" applyBorder="0" applyAlignment="0" applyProtection="0"/>
    <xf numFmtId="49" fontId="24" fillId="0" borderId="0" applyFill="0" applyBorder="0" applyAlignment="0" applyProtection="0"/>
    <xf numFmtId="49" fontId="24" fillId="0" borderId="0" applyFill="0" applyBorder="0" applyAlignment="0" applyProtection="0"/>
    <xf numFmtId="49" fontId="24" fillId="0" borderId="0" applyFill="0" applyBorder="0" applyAlignment="0" applyProtection="0"/>
    <xf numFmtId="49" fontId="24" fillId="0" borderId="0" applyFill="0" applyBorder="0" applyAlignment="0" applyProtection="0"/>
    <xf numFmtId="49" fontId="24" fillId="0" borderId="0" applyFill="0" applyBorder="0" applyAlignment="0" applyProtection="0"/>
    <xf numFmtId="9"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34" borderId="6" applyNumberFormat="0">
      <alignment horizontal="left" vertical="center"/>
      <protection hidden="1"/>
    </xf>
    <xf numFmtId="49" fontId="16" fillId="0" borderId="0" applyBorder="0" applyAlignment="0" applyProtection="0"/>
    <xf numFmtId="49" fontId="16" fillId="0" borderId="0" applyBorder="0" applyAlignment="0" applyProtection="0"/>
    <xf numFmtId="49" fontId="16" fillId="0" borderId="0" applyBorder="0" applyAlignment="0" applyProtection="0"/>
    <xf numFmtId="49" fontId="16" fillId="0" borderId="0" applyBorder="0" applyAlignment="0" applyProtection="0"/>
    <xf numFmtId="49" fontId="16" fillId="0" borderId="0" applyBorder="0" applyAlignment="0" applyProtection="0"/>
    <xf numFmtId="49" fontId="16" fillId="0" borderId="0" applyBorder="0" applyAlignment="0" applyProtection="0"/>
    <xf numFmtId="49" fontId="16" fillId="0" borderId="0" applyBorder="0" applyAlignment="0" applyProtection="0"/>
    <xf numFmtId="49" fontId="16" fillId="0" borderId="0" applyBorder="0" applyAlignment="0" applyProtection="0"/>
    <xf numFmtId="49" fontId="16" fillId="0" borderId="0" applyBorder="0" applyAlignment="0" applyProtection="0"/>
    <xf numFmtId="49" fontId="16" fillId="0" borderId="0" applyBorder="0" applyAlignment="0" applyProtection="0"/>
    <xf numFmtId="49" fontId="16" fillId="0" borderId="0" applyBorder="0" applyAlignment="0" applyProtection="0"/>
    <xf numFmtId="0" fontId="79" fillId="44" borderId="0" applyNumberFormat="0" applyBorder="0" applyAlignment="0" applyProtection="0"/>
    <xf numFmtId="0" fontId="6" fillId="45" borderId="7" applyNumberFormat="0" applyAlignment="0" applyProtection="0"/>
    <xf numFmtId="0" fontId="6" fillId="38" borderId="0" applyNumberFormat="0" applyBorder="0" applyAlignment="0" applyProtection="0"/>
    <xf numFmtId="0" fontId="25" fillId="46" borderId="0" applyNumberFormat="0">
      <alignment horizontal="left" vertical="center"/>
      <protection hidden="1"/>
    </xf>
    <xf numFmtId="165" fontId="26" fillId="46" borderId="8">
      <alignment horizontal="center" vertical="center"/>
      <protection hidden="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0" borderId="0" applyNumberFormat="0" applyFill="0" applyBorder="0" applyAlignment="0" applyProtection="0"/>
    <xf numFmtId="0" fontId="81" fillId="0" borderId="9" applyNumberFormat="0" applyFill="0" applyAlignment="0" applyProtection="0"/>
    <xf numFmtId="0" fontId="82" fillId="0" borderId="10" applyNumberFormat="0" applyFill="0" applyAlignment="0" applyProtection="0"/>
    <xf numFmtId="0" fontId="83" fillId="0" borderId="11" applyNumberFormat="0" applyFill="0" applyAlignment="0" applyProtection="0"/>
    <xf numFmtId="0" fontId="83" fillId="0" borderId="0" applyNumberFormat="0" applyFill="0" applyBorder="0" applyAlignment="0" applyProtection="0"/>
    <xf numFmtId="1" fontId="27" fillId="33" borderId="0" applyBorder="0" applyAlignment="0" applyProtection="0"/>
    <xf numFmtId="1" fontId="27" fillId="33" borderId="0" applyBorder="0" applyAlignment="0" applyProtection="0"/>
    <xf numFmtId="1" fontId="27" fillId="33" borderId="0" applyBorder="0" applyAlignment="0" applyProtection="0"/>
    <xf numFmtId="1" fontId="27" fillId="33" borderId="0" applyBorder="0" applyAlignment="0" applyProtection="0"/>
    <xf numFmtId="1" fontId="27" fillId="33" borderId="0" applyBorder="0" applyAlignment="0" applyProtection="0"/>
    <xf numFmtId="1" fontId="27" fillId="33" borderId="0" applyBorder="0" applyAlignment="0" applyProtection="0"/>
    <xf numFmtId="1" fontId="27" fillId="33" borderId="0" applyBorder="0" applyAlignment="0" applyProtection="0"/>
    <xf numFmtId="1" fontId="27" fillId="33" borderId="0" applyBorder="0" applyAlignment="0" applyProtection="0"/>
    <xf numFmtId="1" fontId="27" fillId="33" borderId="0" applyBorder="0" applyAlignment="0" applyProtection="0"/>
    <xf numFmtId="1" fontId="27" fillId="33" borderId="0" applyBorder="0" applyAlignment="0" applyProtection="0"/>
    <xf numFmtId="1" fontId="27" fillId="33" borderId="0" applyBorder="0" applyAlignment="0" applyProtection="0"/>
    <xf numFmtId="1" fontId="28" fillId="33" borderId="0" applyBorder="0" applyAlignment="0" applyProtection="0"/>
    <xf numFmtId="1" fontId="28" fillId="33" borderId="0" applyBorder="0" applyAlignment="0" applyProtection="0"/>
    <xf numFmtId="1" fontId="28" fillId="33" borderId="0" applyBorder="0" applyAlignment="0" applyProtection="0"/>
    <xf numFmtId="1" fontId="28" fillId="33" borderId="0" applyBorder="0" applyAlignment="0" applyProtection="0"/>
    <xf numFmtId="1" fontId="28" fillId="33" borderId="0" applyBorder="0" applyAlignment="0" applyProtection="0"/>
    <xf numFmtId="1" fontId="28" fillId="33" borderId="0" applyBorder="0" applyAlignment="0" applyProtection="0"/>
    <xf numFmtId="1" fontId="28" fillId="33" borderId="0" applyBorder="0" applyAlignment="0" applyProtection="0"/>
    <xf numFmtId="1" fontId="28" fillId="33" borderId="0" applyBorder="0" applyAlignment="0" applyProtection="0"/>
    <xf numFmtId="1" fontId="28" fillId="33" borderId="0" applyBorder="0" applyAlignment="0" applyProtection="0"/>
    <xf numFmtId="1" fontId="28" fillId="33" borderId="0" applyBorder="0" applyAlignment="0" applyProtection="0"/>
    <xf numFmtId="1" fontId="28" fillId="33" borderId="0" applyBorder="0" applyAlignment="0" applyProtection="0"/>
    <xf numFmtId="0" fontId="84" fillId="0" borderId="12" applyNumberFormat="0" applyFill="0" applyAlignment="0" applyProtection="0"/>
    <xf numFmtId="44" fontId="0" fillId="0" borderId="0" applyFill="0" applyBorder="0" applyAlignment="0" applyProtection="0"/>
    <xf numFmtId="42" fontId="0" fillId="0" borderId="0" applyFill="0" applyBorder="0" applyAlignment="0" applyProtection="0"/>
    <xf numFmtId="0" fontId="85" fillId="0" borderId="0" applyNumberFormat="0" applyFill="0" applyBorder="0" applyAlignment="0" applyProtection="0"/>
    <xf numFmtId="0" fontId="29" fillId="46" borderId="0" applyNumberFormat="0" applyBorder="0" applyAlignment="0" applyProtection="0"/>
    <xf numFmtId="0" fontId="86" fillId="47" borderId="13" applyNumberFormat="0" applyAlignment="0" applyProtection="0"/>
  </cellStyleXfs>
  <cellXfs count="272">
    <xf numFmtId="0" fontId="0" fillId="0" borderId="0" xfId="0" applyAlignment="1">
      <alignment/>
    </xf>
    <xf numFmtId="0" fontId="0" fillId="0" borderId="14" xfId="0" applyBorder="1" applyAlignment="1">
      <alignment/>
    </xf>
    <xf numFmtId="0" fontId="0" fillId="39" borderId="0" xfId="0" applyFont="1" applyFill="1" applyAlignment="1" applyProtection="1">
      <alignment/>
      <protection hidden="1"/>
    </xf>
    <xf numFmtId="0" fontId="0" fillId="39" borderId="0" xfId="0" applyFont="1" applyFill="1" applyBorder="1" applyAlignment="1" applyProtection="1">
      <alignment/>
      <protection hidden="1"/>
    </xf>
    <xf numFmtId="0" fontId="0" fillId="39" borderId="14" xfId="0" applyFont="1" applyFill="1" applyBorder="1" applyAlignment="1" applyProtection="1">
      <alignment/>
      <protection hidden="1"/>
    </xf>
    <xf numFmtId="0" fontId="29" fillId="39" borderId="0" xfId="0" applyFont="1" applyFill="1" applyAlignment="1" applyProtection="1">
      <alignment/>
      <protection hidden="1"/>
    </xf>
    <xf numFmtId="0" fontId="0" fillId="39" borderId="14" xfId="0" applyFont="1" applyFill="1" applyBorder="1" applyAlignment="1" applyProtection="1">
      <alignment vertical="center"/>
      <protection hidden="1"/>
    </xf>
    <xf numFmtId="0" fontId="0" fillId="0" borderId="0" xfId="0" applyAlignment="1">
      <alignment vertical="center"/>
    </xf>
    <xf numFmtId="0" fontId="29" fillId="39" borderId="0" xfId="0" applyFont="1" applyFill="1" applyAlignment="1" applyProtection="1">
      <alignment horizontal="left"/>
      <protection hidden="1"/>
    </xf>
    <xf numFmtId="0" fontId="0" fillId="39" borderId="0" xfId="0" applyFont="1" applyFill="1" applyAlignment="1" applyProtection="1">
      <alignment horizontal="left"/>
      <protection hidden="1"/>
    </xf>
    <xf numFmtId="0" fontId="0" fillId="0" borderId="0" xfId="0" applyBorder="1" applyAlignment="1">
      <alignment/>
    </xf>
    <xf numFmtId="168" fontId="16" fillId="39" borderId="0" xfId="0" applyNumberFormat="1" applyFont="1" applyFill="1" applyBorder="1" applyAlignment="1" applyProtection="1">
      <alignment horizontal="center" vertical="center"/>
      <protection hidden="1"/>
    </xf>
    <xf numFmtId="0" fontId="0" fillId="39" borderId="0" xfId="0" applyFont="1" applyFill="1" applyBorder="1" applyAlignment="1" applyProtection="1">
      <alignment vertical="top"/>
      <protection hidden="1"/>
    </xf>
    <xf numFmtId="0" fontId="0" fillId="39" borderId="0" xfId="0" applyFont="1" applyFill="1" applyBorder="1" applyAlignment="1" applyProtection="1">
      <alignment horizontal="center"/>
      <protection hidden="1"/>
    </xf>
    <xf numFmtId="0" fontId="0" fillId="39" borderId="0" xfId="0" applyFont="1" applyFill="1" applyAlignment="1" applyProtection="1">
      <alignment vertical="center"/>
      <protection hidden="1"/>
    </xf>
    <xf numFmtId="0" fontId="0" fillId="39" borderId="0" xfId="0" applyFont="1" applyFill="1" applyBorder="1" applyAlignment="1" applyProtection="1">
      <alignment horizontal="left"/>
      <protection hidden="1"/>
    </xf>
    <xf numFmtId="0" fontId="0" fillId="39" borderId="0" xfId="0" applyFont="1" applyFill="1" applyAlignment="1" applyProtection="1">
      <alignment horizontal="center"/>
      <protection hidden="1"/>
    </xf>
    <xf numFmtId="0" fontId="0" fillId="39" borderId="0" xfId="0" applyFont="1" applyFill="1" applyAlignment="1" applyProtection="1">
      <alignment/>
      <protection hidden="1"/>
    </xf>
    <xf numFmtId="0" fontId="0" fillId="39" borderId="0" xfId="0" applyFont="1" applyFill="1" applyBorder="1" applyAlignment="1" applyProtection="1">
      <alignment horizontal="center" vertical="top"/>
      <protection hidden="1"/>
    </xf>
    <xf numFmtId="0" fontId="0" fillId="39" borderId="0" xfId="0" applyFont="1" applyFill="1" applyBorder="1" applyAlignment="1" applyProtection="1">
      <alignment/>
      <protection hidden="1"/>
    </xf>
    <xf numFmtId="0" fontId="29" fillId="39" borderId="4" xfId="0" applyFont="1" applyFill="1" applyBorder="1" applyAlignment="1" applyProtection="1">
      <alignment vertical="center"/>
      <protection hidden="1"/>
    </xf>
    <xf numFmtId="0" fontId="29" fillId="39" borderId="15" xfId="0" applyFont="1" applyFill="1" applyBorder="1" applyAlignment="1" applyProtection="1">
      <alignment vertical="center"/>
      <protection hidden="1"/>
    </xf>
    <xf numFmtId="0" fontId="0" fillId="0" borderId="0" xfId="0" applyAlignment="1" applyProtection="1">
      <alignment/>
      <protection hidden="1"/>
    </xf>
    <xf numFmtId="0" fontId="29" fillId="39" borderId="0" xfId="0" applyFont="1" applyFill="1" applyBorder="1" applyAlignment="1" applyProtection="1">
      <alignment horizontal="center"/>
      <protection hidden="1"/>
    </xf>
    <xf numFmtId="0" fontId="29" fillId="39" borderId="0" xfId="0" applyFont="1" applyFill="1" applyBorder="1" applyAlignment="1" applyProtection="1">
      <alignment horizontal="center" vertical="center"/>
      <protection hidden="1"/>
    </xf>
    <xf numFmtId="0" fontId="0" fillId="39" borderId="0" xfId="0" applyFont="1" applyFill="1" applyBorder="1" applyAlignment="1" applyProtection="1">
      <alignment horizontal="left" vertical="center"/>
      <protection hidden="1"/>
    </xf>
    <xf numFmtId="0" fontId="0" fillId="34" borderId="16" xfId="0" applyFont="1" applyFill="1" applyBorder="1" applyAlignment="1" applyProtection="1">
      <alignment vertical="center"/>
      <protection hidden="1"/>
    </xf>
    <xf numFmtId="0" fontId="29" fillId="39" borderId="0" xfId="0" applyFont="1" applyFill="1" applyBorder="1" applyAlignment="1" applyProtection="1">
      <alignment/>
      <protection hidden="1"/>
    </xf>
    <xf numFmtId="0" fontId="29" fillId="39" borderId="6" xfId="0" applyFont="1" applyFill="1" applyBorder="1" applyAlignment="1" applyProtection="1">
      <alignment vertical="center"/>
      <protection hidden="1"/>
    </xf>
    <xf numFmtId="0" fontId="29" fillId="39" borderId="0" xfId="0" applyFont="1" applyFill="1" applyAlignment="1" applyProtection="1">
      <alignment vertical="center"/>
      <protection hidden="1"/>
    </xf>
    <xf numFmtId="0" fontId="44" fillId="39" borderId="0" xfId="0" applyFont="1" applyFill="1" applyAlignment="1" applyProtection="1">
      <alignment vertical="center"/>
      <protection hidden="1"/>
    </xf>
    <xf numFmtId="0" fontId="33" fillId="39" borderId="0" xfId="0" applyFont="1" applyFill="1" applyAlignment="1" applyProtection="1">
      <alignment vertical="center"/>
      <protection hidden="1"/>
    </xf>
    <xf numFmtId="49" fontId="29" fillId="39" borderId="0" xfId="0" applyNumberFormat="1" applyFont="1" applyFill="1" applyAlignment="1" applyProtection="1">
      <alignment horizontal="left"/>
      <protection hidden="1"/>
    </xf>
    <xf numFmtId="49" fontId="29" fillId="39" borderId="0" xfId="0" applyNumberFormat="1" applyFont="1" applyFill="1" applyAlignment="1" applyProtection="1">
      <alignment/>
      <protection hidden="1"/>
    </xf>
    <xf numFmtId="0" fontId="29" fillId="39" borderId="0" xfId="0" applyFont="1" applyFill="1" applyAlignment="1" applyProtection="1">
      <alignment horizontal="center"/>
      <protection hidden="1"/>
    </xf>
    <xf numFmtId="0" fontId="6" fillId="39" borderId="0" xfId="0" applyFont="1" applyFill="1" applyBorder="1" applyAlignment="1" applyProtection="1">
      <alignment vertical="center"/>
      <protection hidden="1"/>
    </xf>
    <xf numFmtId="173" fontId="16" fillId="39" borderId="0" xfId="0" applyNumberFormat="1" applyFont="1" applyFill="1" applyBorder="1" applyAlignment="1" applyProtection="1">
      <alignment horizontal="center" vertical="center"/>
      <protection hidden="1"/>
    </xf>
    <xf numFmtId="49" fontId="0" fillId="39" borderId="0" xfId="0" applyNumberFormat="1" applyFont="1" applyFill="1" applyBorder="1" applyAlignment="1" applyProtection="1">
      <alignment horizontal="left" vertical="center"/>
      <protection hidden="1"/>
    </xf>
    <xf numFmtId="168" fontId="6" fillId="39" borderId="0" xfId="0" applyNumberFormat="1" applyFont="1" applyFill="1" applyBorder="1" applyAlignment="1" applyProtection="1">
      <alignment horizontal="center" vertical="center"/>
      <protection hidden="1"/>
    </xf>
    <xf numFmtId="0" fontId="29" fillId="39" borderId="14" xfId="0" applyFont="1" applyFill="1" applyBorder="1" applyAlignment="1" applyProtection="1">
      <alignment/>
      <protection hidden="1"/>
    </xf>
    <xf numFmtId="0" fontId="42" fillId="39" borderId="0" xfId="0" applyFont="1" applyFill="1" applyAlignment="1" applyProtection="1">
      <alignment horizontal="left" vertical="center"/>
      <protection hidden="1"/>
    </xf>
    <xf numFmtId="0" fontId="42" fillId="39" borderId="0" xfId="224" applyFont="1" applyFill="1" applyAlignment="1" applyProtection="1">
      <alignment horizontal="left"/>
      <protection hidden="1"/>
    </xf>
    <xf numFmtId="0" fontId="36" fillId="39" borderId="0" xfId="0" applyFont="1" applyFill="1" applyAlignment="1" applyProtection="1">
      <alignment horizontal="left"/>
      <protection hidden="1"/>
    </xf>
    <xf numFmtId="172" fontId="42" fillId="39" borderId="0" xfId="0" applyNumberFormat="1" applyFont="1" applyFill="1" applyAlignment="1" applyProtection="1">
      <alignment horizontal="left" vertical="center"/>
      <protection hidden="1"/>
    </xf>
    <xf numFmtId="172" fontId="42" fillId="39" borderId="0" xfId="0" applyNumberFormat="1" applyFont="1" applyFill="1" applyAlignment="1" applyProtection="1">
      <alignment horizontal="left"/>
      <protection hidden="1"/>
    </xf>
    <xf numFmtId="192" fontId="42" fillId="39" borderId="0" xfId="225" applyNumberFormat="1" applyFont="1" applyFill="1" applyAlignment="1" applyProtection="1">
      <alignment horizontal="left"/>
      <protection hidden="1"/>
    </xf>
    <xf numFmtId="172" fontId="42" fillId="39" borderId="0" xfId="226" applyNumberFormat="1" applyFont="1" applyFill="1" applyAlignment="1" applyProtection="1">
      <alignment horizontal="left"/>
      <protection hidden="1"/>
    </xf>
    <xf numFmtId="178" fontId="42" fillId="39" borderId="0" xfId="227" applyNumberFormat="1" applyFont="1" applyFill="1" applyAlignment="1" applyProtection="1">
      <alignment horizontal="left"/>
      <protection hidden="1"/>
    </xf>
    <xf numFmtId="178" fontId="42" fillId="39" borderId="0" xfId="228" applyNumberFormat="1" applyFont="1" applyFill="1" applyAlignment="1" applyProtection="1">
      <alignment horizontal="left"/>
      <protection hidden="1"/>
    </xf>
    <xf numFmtId="172" fontId="35" fillId="39" borderId="0" xfId="0" applyNumberFormat="1" applyFont="1" applyFill="1" applyAlignment="1" applyProtection="1">
      <alignment horizontal="center"/>
      <protection hidden="1"/>
    </xf>
    <xf numFmtId="0" fontId="35" fillId="39" borderId="0" xfId="0" applyFont="1" applyFill="1" applyAlignment="1" applyProtection="1">
      <alignment/>
      <protection hidden="1"/>
    </xf>
    <xf numFmtId="0" fontId="9" fillId="39" borderId="0" xfId="0" applyFont="1" applyFill="1" applyBorder="1" applyAlignment="1" applyProtection="1">
      <alignment horizontal="center" vertical="center"/>
      <protection hidden="1"/>
    </xf>
    <xf numFmtId="0" fontId="6" fillId="39" borderId="0" xfId="0" applyFont="1" applyFill="1" applyBorder="1" applyAlignment="1" applyProtection="1">
      <alignment vertical="top"/>
      <protection hidden="1"/>
    </xf>
    <xf numFmtId="0" fontId="9" fillId="39" borderId="0" xfId="0" applyFont="1" applyFill="1" applyBorder="1" applyAlignment="1" applyProtection="1">
      <alignment vertical="top"/>
      <protection hidden="1"/>
    </xf>
    <xf numFmtId="170" fontId="40" fillId="39" borderId="0" xfId="0" applyNumberFormat="1" applyFont="1" applyFill="1" applyBorder="1" applyAlignment="1" applyProtection="1">
      <alignment horizontal="center"/>
      <protection hidden="1"/>
    </xf>
    <xf numFmtId="0" fontId="0" fillId="39" borderId="0" xfId="0" applyFont="1" applyFill="1" applyBorder="1" applyAlignment="1" applyProtection="1">
      <alignment horizontal="left" vertical="top"/>
      <protection hidden="1"/>
    </xf>
    <xf numFmtId="164" fontId="40" fillId="39" borderId="0" xfId="0" applyNumberFormat="1" applyFont="1" applyFill="1" applyBorder="1" applyAlignment="1" applyProtection="1">
      <alignment horizontal="center" vertical="top"/>
      <protection hidden="1"/>
    </xf>
    <xf numFmtId="183" fontId="0" fillId="39" borderId="0" xfId="0" applyNumberFormat="1" applyFont="1" applyFill="1" applyBorder="1" applyAlignment="1" applyProtection="1">
      <alignment horizontal="left"/>
      <protection hidden="1"/>
    </xf>
    <xf numFmtId="177" fontId="40" fillId="39" borderId="0" xfId="0" applyNumberFormat="1" applyFont="1" applyFill="1" applyBorder="1" applyAlignment="1" applyProtection="1">
      <alignment horizontal="center" vertical="center"/>
      <protection hidden="1"/>
    </xf>
    <xf numFmtId="177" fontId="6" fillId="39" borderId="0" xfId="0" applyNumberFormat="1" applyFont="1" applyFill="1" applyBorder="1" applyAlignment="1" applyProtection="1">
      <alignment horizontal="left" vertical="center"/>
      <protection hidden="1"/>
    </xf>
    <xf numFmtId="0" fontId="0" fillId="34" borderId="17" xfId="0" applyFont="1" applyFill="1" applyBorder="1" applyAlignment="1" applyProtection="1">
      <alignment/>
      <protection hidden="1"/>
    </xf>
    <xf numFmtId="194" fontId="6" fillId="34" borderId="14" xfId="0" applyNumberFormat="1" applyFont="1" applyFill="1" applyBorder="1" applyAlignment="1" applyProtection="1">
      <alignment horizontal="left"/>
      <protection hidden="1"/>
    </xf>
    <xf numFmtId="177" fontId="40" fillId="39" borderId="0" xfId="0" applyNumberFormat="1" applyFont="1" applyFill="1" applyBorder="1" applyAlignment="1" applyProtection="1">
      <alignment horizontal="center"/>
      <protection hidden="1"/>
    </xf>
    <xf numFmtId="177" fontId="6" fillId="39" borderId="0" xfId="0" applyNumberFormat="1" applyFont="1" applyFill="1" applyBorder="1" applyAlignment="1" applyProtection="1">
      <alignment horizontal="left"/>
      <protection hidden="1"/>
    </xf>
    <xf numFmtId="0" fontId="0" fillId="34" borderId="14" xfId="0" applyFont="1" applyFill="1" applyBorder="1" applyAlignment="1" applyProtection="1">
      <alignment horizontal="left" vertical="center"/>
      <protection hidden="1"/>
    </xf>
    <xf numFmtId="0" fontId="0" fillId="34" borderId="14" xfId="0" applyFont="1" applyFill="1" applyBorder="1" applyAlignment="1" applyProtection="1">
      <alignment/>
      <protection hidden="1"/>
    </xf>
    <xf numFmtId="0" fontId="0" fillId="34" borderId="18" xfId="0" applyFont="1" applyFill="1" applyBorder="1" applyAlignment="1" applyProtection="1">
      <alignment vertical="center"/>
      <protection hidden="1"/>
    </xf>
    <xf numFmtId="0" fontId="0" fillId="34" borderId="17" xfId="0" applyFont="1" applyFill="1" applyBorder="1" applyAlignment="1" applyProtection="1">
      <alignment vertical="center"/>
      <protection hidden="1"/>
    </xf>
    <xf numFmtId="0" fontId="0" fillId="34" borderId="14" xfId="0" applyFont="1" applyFill="1" applyBorder="1" applyAlignment="1" applyProtection="1">
      <alignment vertical="center"/>
      <protection hidden="1"/>
    </xf>
    <xf numFmtId="0" fontId="0" fillId="34" borderId="19" xfId="0" applyFont="1" applyFill="1" applyBorder="1" applyAlignment="1" applyProtection="1">
      <alignment/>
      <protection hidden="1"/>
    </xf>
    <xf numFmtId="0" fontId="0" fillId="34" borderId="20" xfId="0" applyFont="1" applyFill="1" applyBorder="1" applyAlignment="1" applyProtection="1">
      <alignment/>
      <protection hidden="1"/>
    </xf>
    <xf numFmtId="0" fontId="0" fillId="34" borderId="16" xfId="0" applyFont="1" applyFill="1" applyBorder="1" applyAlignment="1" applyProtection="1">
      <alignment/>
      <protection hidden="1"/>
    </xf>
    <xf numFmtId="0" fontId="0" fillId="34" borderId="18" xfId="0" applyFont="1" applyFill="1" applyBorder="1" applyAlignment="1" applyProtection="1">
      <alignment/>
      <protection hidden="1"/>
    </xf>
    <xf numFmtId="0" fontId="43" fillId="39" borderId="0" xfId="0" applyFont="1" applyFill="1" applyAlignment="1" applyProtection="1">
      <alignment horizontal="center" vertical="center"/>
      <protection hidden="1"/>
    </xf>
    <xf numFmtId="191" fontId="29" fillId="39" borderId="0" xfId="0" applyNumberFormat="1" applyFont="1" applyFill="1" applyBorder="1" applyAlignment="1" applyProtection="1">
      <alignment horizontal="center"/>
      <protection hidden="1"/>
    </xf>
    <xf numFmtId="191" fontId="29" fillId="39" borderId="0" xfId="0" applyNumberFormat="1" applyFont="1" applyFill="1" applyBorder="1" applyAlignment="1" applyProtection="1">
      <alignment horizontal="center" vertical="center"/>
      <protection hidden="1"/>
    </xf>
    <xf numFmtId="191" fontId="0" fillId="39" borderId="0" xfId="0" applyNumberFormat="1" applyFont="1" applyFill="1" applyBorder="1" applyAlignment="1" applyProtection="1">
      <alignment horizontal="center"/>
      <protection hidden="1"/>
    </xf>
    <xf numFmtId="191" fontId="0" fillId="39" borderId="0" xfId="0" applyNumberFormat="1" applyFont="1" applyFill="1" applyBorder="1" applyAlignment="1" applyProtection="1">
      <alignment horizontal="center" vertical="center"/>
      <protection hidden="1"/>
    </xf>
    <xf numFmtId="0" fontId="0" fillId="37" borderId="15" xfId="0" applyFont="1" applyFill="1" applyBorder="1" applyAlignment="1" applyProtection="1">
      <alignment/>
      <protection hidden="1"/>
    </xf>
    <xf numFmtId="0" fontId="29" fillId="39" borderId="0" xfId="0" applyFont="1" applyFill="1" applyAlignment="1" applyProtection="1">
      <alignment horizontal="center" vertical="center"/>
      <protection hidden="1"/>
    </xf>
    <xf numFmtId="0" fontId="29" fillId="39" borderId="0" xfId="0" applyFont="1" applyFill="1" applyAlignment="1" applyProtection="1">
      <alignment/>
      <protection hidden="1"/>
    </xf>
    <xf numFmtId="191" fontId="26" fillId="42" borderId="6" xfId="0" applyNumberFormat="1" applyFont="1" applyFill="1" applyBorder="1" applyAlignment="1" applyProtection="1">
      <alignment horizontal="left" vertical="center"/>
      <protection hidden="1"/>
    </xf>
    <xf numFmtId="0" fontId="6" fillId="42" borderId="4" xfId="0" applyFont="1" applyFill="1" applyBorder="1" applyAlignment="1" applyProtection="1">
      <alignment/>
      <protection hidden="1"/>
    </xf>
    <xf numFmtId="0" fontId="6" fillId="42" borderId="15" xfId="0" applyFont="1" applyFill="1" applyBorder="1" applyAlignment="1" applyProtection="1">
      <alignment/>
      <protection hidden="1"/>
    </xf>
    <xf numFmtId="191" fontId="26" fillId="42" borderId="19" xfId="0" applyNumberFormat="1" applyFont="1" applyFill="1" applyBorder="1" applyAlignment="1" applyProtection="1">
      <alignment horizontal="left" vertical="center"/>
      <protection hidden="1"/>
    </xf>
    <xf numFmtId="0" fontId="6" fillId="42" borderId="21" xfId="0" applyFont="1" applyFill="1" applyBorder="1" applyAlignment="1" applyProtection="1">
      <alignment/>
      <protection hidden="1"/>
    </xf>
    <xf numFmtId="0" fontId="6" fillId="42" borderId="20" xfId="0" applyFont="1" applyFill="1" applyBorder="1" applyAlignment="1" applyProtection="1">
      <alignment/>
      <protection hidden="1"/>
    </xf>
    <xf numFmtId="0" fontId="30" fillId="34" borderId="22" xfId="0" applyFont="1" applyFill="1" applyBorder="1" applyAlignment="1" applyProtection="1">
      <alignment/>
      <protection hidden="1"/>
    </xf>
    <xf numFmtId="0" fontId="0" fillId="34" borderId="22" xfId="0" applyFont="1" applyFill="1" applyBorder="1" applyAlignment="1" applyProtection="1">
      <alignment/>
      <protection hidden="1"/>
    </xf>
    <xf numFmtId="0" fontId="30" fillId="34" borderId="22" xfId="0" applyFont="1" applyFill="1" applyBorder="1" applyAlignment="1" applyProtection="1">
      <alignment/>
      <protection hidden="1"/>
    </xf>
    <xf numFmtId="0" fontId="0" fillId="34" borderId="22" xfId="0" applyFont="1" applyFill="1" applyBorder="1" applyAlignment="1" applyProtection="1">
      <alignment/>
      <protection hidden="1"/>
    </xf>
    <xf numFmtId="191" fontId="0" fillId="34" borderId="22" xfId="0" applyNumberFormat="1" applyFont="1" applyFill="1" applyBorder="1" applyAlignment="1" applyProtection="1">
      <alignment horizontal="center"/>
      <protection hidden="1"/>
    </xf>
    <xf numFmtId="0" fontId="30" fillId="34" borderId="21" xfId="0" applyFont="1" applyFill="1" applyBorder="1" applyAlignment="1" applyProtection="1">
      <alignment vertical="top"/>
      <protection hidden="1"/>
    </xf>
    <xf numFmtId="0" fontId="0" fillId="34" borderId="21" xfId="0" applyFont="1" applyFill="1" applyBorder="1" applyAlignment="1" applyProtection="1">
      <alignment vertical="top"/>
      <protection hidden="1"/>
    </xf>
    <xf numFmtId="0" fontId="0" fillId="34" borderId="21" xfId="0" applyFont="1" applyFill="1" applyBorder="1" applyAlignment="1" applyProtection="1">
      <alignment/>
      <protection hidden="1"/>
    </xf>
    <xf numFmtId="191" fontId="0" fillId="34" borderId="21" xfId="0" applyNumberFormat="1" applyFont="1" applyFill="1" applyBorder="1" applyAlignment="1" applyProtection="1">
      <alignment horizontal="center"/>
      <protection hidden="1"/>
    </xf>
    <xf numFmtId="0" fontId="16" fillId="0" borderId="7" xfId="0" applyFont="1" applyFill="1" applyBorder="1" applyAlignment="1" applyProtection="1">
      <alignment horizontal="center"/>
      <protection locked="0"/>
    </xf>
    <xf numFmtId="0" fontId="16" fillId="39" borderId="0" xfId="0" applyFont="1" applyFill="1" applyBorder="1" applyAlignment="1" applyProtection="1">
      <alignment horizontal="center"/>
      <protection hidden="1"/>
    </xf>
    <xf numFmtId="187" fontId="29" fillId="39" borderId="0" xfId="0" applyNumberFormat="1" applyFont="1" applyFill="1" applyBorder="1" applyAlignment="1" applyProtection="1">
      <alignment horizontal="center"/>
      <protection hidden="1"/>
    </xf>
    <xf numFmtId="0" fontId="16" fillId="0" borderId="15" xfId="0" applyFont="1" applyBorder="1" applyAlignment="1" applyProtection="1">
      <alignment/>
      <protection hidden="1"/>
    </xf>
    <xf numFmtId="2" fontId="29" fillId="39" borderId="0" xfId="0" applyNumberFormat="1" applyFont="1" applyFill="1" applyBorder="1" applyAlignment="1" applyProtection="1">
      <alignment horizontal="center" vertical="center"/>
      <protection hidden="1"/>
    </xf>
    <xf numFmtId="0" fontId="29" fillId="39" borderId="0" xfId="0" applyFont="1" applyFill="1" applyBorder="1" applyAlignment="1" applyProtection="1">
      <alignment horizontal="left"/>
      <protection hidden="1"/>
    </xf>
    <xf numFmtId="0" fontId="16" fillId="0" borderId="15" xfId="0" applyFont="1" applyBorder="1" applyAlignment="1" applyProtection="1">
      <alignment horizontal="left"/>
      <protection hidden="1"/>
    </xf>
    <xf numFmtId="0" fontId="0" fillId="37" borderId="15" xfId="0" applyFont="1" applyFill="1" applyBorder="1" applyAlignment="1" applyProtection="1">
      <alignment horizontal="left"/>
      <protection hidden="1"/>
    </xf>
    <xf numFmtId="0" fontId="50" fillId="48" borderId="0" xfId="0" applyFont="1" applyFill="1" applyBorder="1" applyAlignment="1">
      <alignment horizontal="justify" vertical="top" wrapText="1"/>
    </xf>
    <xf numFmtId="0" fontId="29" fillId="39" borderId="0" xfId="0" applyFont="1" applyFill="1" applyAlignment="1" applyProtection="1">
      <alignment horizontal="justify" vertical="top"/>
      <protection hidden="1"/>
    </xf>
    <xf numFmtId="0" fontId="51" fillId="39" borderId="0" xfId="0" applyFont="1" applyFill="1" applyAlignment="1" applyProtection="1">
      <alignment/>
      <protection hidden="1"/>
    </xf>
    <xf numFmtId="0" fontId="30" fillId="39" borderId="0" xfId="0" applyFont="1" applyFill="1" applyAlignment="1" applyProtection="1">
      <alignment/>
      <protection hidden="1"/>
    </xf>
    <xf numFmtId="0" fontId="52" fillId="39" borderId="0" xfId="0" applyFont="1" applyFill="1" applyAlignment="1" applyProtection="1">
      <alignment/>
      <protection hidden="1"/>
    </xf>
    <xf numFmtId="0" fontId="0" fillId="37" borderId="23" xfId="0" applyFont="1" applyFill="1" applyBorder="1" applyAlignment="1" applyProtection="1">
      <alignment horizontal="left"/>
      <protection hidden="1"/>
    </xf>
    <xf numFmtId="174" fontId="0" fillId="37" borderId="23" xfId="0" applyNumberFormat="1" applyFont="1" applyFill="1" applyBorder="1" applyAlignment="1" applyProtection="1">
      <alignment horizontal="center"/>
      <protection hidden="1"/>
    </xf>
    <xf numFmtId="0" fontId="52" fillId="39" borderId="0" xfId="0" applyFont="1" applyFill="1" applyAlignment="1" applyProtection="1">
      <alignment horizontal="justify" vertical="top" wrapText="1"/>
      <protection hidden="1"/>
    </xf>
    <xf numFmtId="0" fontId="51" fillId="39" borderId="0" xfId="0" applyFont="1" applyFill="1" applyAlignment="1" applyProtection="1">
      <alignment horizontal="justify" vertical="top" wrapText="1"/>
      <protection hidden="1"/>
    </xf>
    <xf numFmtId="0" fontId="0" fillId="34" borderId="24" xfId="0" applyFont="1" applyFill="1" applyBorder="1" applyAlignment="1" applyProtection="1">
      <alignment horizontal="left"/>
      <protection hidden="1"/>
    </xf>
    <xf numFmtId="174" fontId="16" fillId="46" borderId="25" xfId="0" applyNumberFormat="1" applyFont="1" applyFill="1" applyBorder="1" applyAlignment="1" applyProtection="1">
      <alignment horizontal="center"/>
      <protection locked="0"/>
    </xf>
    <xf numFmtId="0" fontId="0" fillId="37" borderId="26" xfId="0" applyFont="1" applyFill="1" applyBorder="1" applyAlignment="1" applyProtection="1">
      <alignment horizontal="left"/>
      <protection hidden="1"/>
    </xf>
    <xf numFmtId="173" fontId="0" fillId="37" borderId="7" xfId="0" applyNumberFormat="1" applyFont="1" applyFill="1" applyBorder="1" applyAlignment="1" applyProtection="1">
      <alignment horizontal="center"/>
      <protection hidden="1"/>
    </xf>
    <xf numFmtId="0" fontId="0" fillId="37" borderId="27" xfId="0" applyFont="1" applyFill="1" applyBorder="1" applyAlignment="1" applyProtection="1">
      <alignment horizontal="left"/>
      <protection hidden="1"/>
    </xf>
    <xf numFmtId="176" fontId="0" fillId="37" borderId="28" xfId="0" applyNumberFormat="1" applyFont="1" applyFill="1" applyBorder="1" applyAlignment="1" applyProtection="1">
      <alignment horizontal="center"/>
      <protection hidden="1"/>
    </xf>
    <xf numFmtId="0" fontId="0" fillId="34" borderId="7" xfId="0" applyFont="1" applyFill="1" applyBorder="1" applyAlignment="1" applyProtection="1">
      <alignment horizontal="left"/>
      <protection hidden="1"/>
    </xf>
    <xf numFmtId="174" fontId="16" fillId="46" borderId="7" xfId="0" applyNumberFormat="1" applyFont="1" applyFill="1" applyBorder="1" applyAlignment="1" applyProtection="1">
      <alignment horizontal="center"/>
      <protection locked="0"/>
    </xf>
    <xf numFmtId="173" fontId="16" fillId="46" borderId="7" xfId="0" applyNumberFormat="1" applyFont="1" applyFill="1" applyBorder="1" applyAlignment="1" applyProtection="1">
      <alignment horizontal="center"/>
      <protection locked="0"/>
    </xf>
    <xf numFmtId="0" fontId="0" fillId="34" borderId="29" xfId="0" applyFont="1" applyFill="1" applyBorder="1" applyAlignment="1" applyProtection="1">
      <alignment horizontal="left"/>
      <protection hidden="1"/>
    </xf>
    <xf numFmtId="176" fontId="16" fillId="46" borderId="29" xfId="0" applyNumberFormat="1" applyFont="1" applyFill="1" applyBorder="1" applyAlignment="1" applyProtection="1">
      <alignment horizontal="center"/>
      <protection locked="0"/>
    </xf>
    <xf numFmtId="2" fontId="16" fillId="0" borderId="7" xfId="0" applyNumberFormat="1" applyFont="1" applyFill="1" applyBorder="1" applyAlignment="1" applyProtection="1">
      <alignment horizontal="center"/>
      <protection locked="0"/>
    </xf>
    <xf numFmtId="2" fontId="0" fillId="37" borderId="7" xfId="0" applyNumberFormat="1" applyFont="1" applyFill="1" applyBorder="1" applyAlignment="1" applyProtection="1">
      <alignment horizontal="center" vertical="center"/>
      <protection hidden="1"/>
    </xf>
    <xf numFmtId="1" fontId="16" fillId="0" borderId="7" xfId="0" applyNumberFormat="1" applyFont="1" applyBorder="1" applyAlignment="1" applyProtection="1">
      <alignment horizontal="center"/>
      <protection locked="0"/>
    </xf>
    <xf numFmtId="2" fontId="0" fillId="37" borderId="7" xfId="0" applyNumberFormat="1" applyFont="1" applyFill="1" applyBorder="1" applyAlignment="1" applyProtection="1">
      <alignment horizontal="center"/>
      <protection hidden="1"/>
    </xf>
    <xf numFmtId="2" fontId="6" fillId="37" borderId="7" xfId="0" applyNumberFormat="1" applyFont="1" applyFill="1" applyBorder="1" applyAlignment="1" applyProtection="1">
      <alignment horizontal="center"/>
      <protection hidden="1"/>
    </xf>
    <xf numFmtId="2" fontId="16" fillId="0" borderId="7" xfId="0" applyNumberFormat="1" applyFont="1" applyFill="1" applyBorder="1" applyAlignment="1" applyProtection="1">
      <alignment horizontal="center" vertical="center"/>
      <protection locked="0"/>
    </xf>
    <xf numFmtId="1" fontId="0" fillId="37" borderId="7" xfId="0" applyNumberFormat="1" applyFont="1" applyFill="1" applyBorder="1" applyAlignment="1" applyProtection="1">
      <alignment horizontal="center"/>
      <protection hidden="1"/>
    </xf>
    <xf numFmtId="1" fontId="6" fillId="37" borderId="7" xfId="0" applyNumberFormat="1" applyFont="1" applyFill="1" applyBorder="1" applyAlignment="1" applyProtection="1">
      <alignment horizontal="center"/>
      <protection hidden="1"/>
    </xf>
    <xf numFmtId="191" fontId="0" fillId="34" borderId="7" xfId="0" applyNumberFormat="1" applyFont="1" applyFill="1" applyBorder="1" applyAlignment="1" applyProtection="1">
      <alignment horizontal="center"/>
      <protection hidden="1"/>
    </xf>
    <xf numFmtId="191" fontId="30" fillId="34" borderId="7" xfId="0" applyNumberFormat="1" applyFont="1" applyFill="1" applyBorder="1" applyAlignment="1" applyProtection="1">
      <alignment horizontal="center" vertical="center"/>
      <protection hidden="1"/>
    </xf>
    <xf numFmtId="0" fontId="0" fillId="34" borderId="7" xfId="0" applyFont="1" applyFill="1" applyBorder="1" applyAlignment="1" applyProtection="1">
      <alignment horizontal="center"/>
      <protection hidden="1"/>
    </xf>
    <xf numFmtId="0" fontId="0" fillId="37" borderId="7" xfId="0" applyFont="1" applyFill="1" applyBorder="1" applyAlignment="1" applyProtection="1">
      <alignment horizontal="center"/>
      <protection hidden="1"/>
    </xf>
    <xf numFmtId="0" fontId="16" fillId="0" borderId="7" xfId="0" applyFont="1" applyFill="1" applyBorder="1" applyAlignment="1" applyProtection="1">
      <alignment horizontal="center"/>
      <protection locked="0"/>
    </xf>
    <xf numFmtId="178" fontId="0" fillId="37" borderId="7" xfId="0" applyNumberFormat="1" applyFont="1" applyFill="1" applyBorder="1" applyAlignment="1" applyProtection="1">
      <alignment horizontal="center"/>
      <protection hidden="1"/>
    </xf>
    <xf numFmtId="178" fontId="16" fillId="0" borderId="7" xfId="0" applyNumberFormat="1" applyFont="1" applyFill="1" applyBorder="1" applyAlignment="1" applyProtection="1">
      <alignment horizontal="center"/>
      <protection locked="0"/>
    </xf>
    <xf numFmtId="172" fontId="0" fillId="37" borderId="7" xfId="0" applyNumberFormat="1" applyFont="1" applyFill="1" applyBorder="1" applyAlignment="1" applyProtection="1">
      <alignment horizontal="center"/>
      <protection hidden="1"/>
    </xf>
    <xf numFmtId="172" fontId="16" fillId="0" borderId="7" xfId="0" applyNumberFormat="1" applyFont="1" applyBorder="1" applyAlignment="1" applyProtection="1">
      <alignment horizontal="center"/>
      <protection locked="0"/>
    </xf>
    <xf numFmtId="178" fontId="16" fillId="0" borderId="7" xfId="0" applyNumberFormat="1" applyFont="1" applyBorder="1" applyAlignment="1" applyProtection="1">
      <alignment horizontal="center"/>
      <protection locked="0"/>
    </xf>
    <xf numFmtId="1" fontId="16" fillId="0" borderId="7" xfId="0" applyNumberFormat="1" applyFont="1" applyFill="1" applyBorder="1" applyAlignment="1" applyProtection="1">
      <alignment horizontal="center"/>
      <protection locked="0"/>
    </xf>
    <xf numFmtId="0" fontId="0" fillId="37" borderId="7" xfId="0" applyFont="1" applyFill="1" applyBorder="1" applyAlignment="1" applyProtection="1">
      <alignment/>
      <protection hidden="1"/>
    </xf>
    <xf numFmtId="2" fontId="0" fillId="37" borderId="6" xfId="0" applyNumberFormat="1" applyFont="1" applyFill="1" applyBorder="1" applyAlignment="1" applyProtection="1">
      <alignment horizontal="center"/>
      <protection hidden="1"/>
    </xf>
    <xf numFmtId="0" fontId="0" fillId="37" borderId="7" xfId="0" applyFont="1" applyFill="1" applyBorder="1" applyAlignment="1" applyProtection="1">
      <alignment/>
      <protection hidden="1"/>
    </xf>
    <xf numFmtId="0" fontId="34" fillId="34" borderId="7" xfId="0" applyFont="1" applyFill="1" applyBorder="1" applyAlignment="1" applyProtection="1">
      <alignment/>
      <protection hidden="1"/>
    </xf>
    <xf numFmtId="0" fontId="0" fillId="34" borderId="7" xfId="0" applyFont="1" applyFill="1" applyBorder="1" applyAlignment="1" applyProtection="1">
      <alignment/>
      <protection hidden="1"/>
    </xf>
    <xf numFmtId="1" fontId="16" fillId="0" borderId="6" xfId="0" applyNumberFormat="1" applyFont="1" applyBorder="1" applyAlignment="1" applyProtection="1">
      <alignment horizontal="center"/>
      <protection locked="0"/>
    </xf>
    <xf numFmtId="0" fontId="0" fillId="34" borderId="7" xfId="0" applyFont="1" applyFill="1" applyBorder="1" applyAlignment="1" applyProtection="1">
      <alignment/>
      <protection hidden="1"/>
    </xf>
    <xf numFmtId="1" fontId="16" fillId="0" borderId="6" xfId="0" applyNumberFormat="1" applyFont="1" applyFill="1" applyBorder="1" applyAlignment="1" applyProtection="1">
      <alignment horizontal="center"/>
      <protection locked="0"/>
    </xf>
    <xf numFmtId="0" fontId="0" fillId="34" borderId="15" xfId="0" applyFont="1" applyFill="1" applyBorder="1" applyAlignment="1" applyProtection="1">
      <alignment/>
      <protection hidden="1"/>
    </xf>
    <xf numFmtId="2" fontId="16" fillId="0" borderId="7" xfId="0" applyNumberFormat="1" applyFont="1" applyBorder="1" applyAlignment="1" applyProtection="1">
      <alignment horizontal="center"/>
      <protection locked="0"/>
    </xf>
    <xf numFmtId="187" fontId="0" fillId="37" borderId="6" xfId="0" applyNumberFormat="1" applyFont="1" applyFill="1" applyBorder="1" applyAlignment="1" applyProtection="1">
      <alignment horizontal="center"/>
      <protection hidden="1"/>
    </xf>
    <xf numFmtId="0" fontId="0" fillId="37" borderId="18" xfId="0" applyFont="1" applyFill="1" applyBorder="1" applyAlignment="1" applyProtection="1">
      <alignment/>
      <protection hidden="1"/>
    </xf>
    <xf numFmtId="197" fontId="0" fillId="37" borderId="29" xfId="0" applyNumberFormat="1" applyFont="1" applyFill="1" applyBorder="1" applyAlignment="1" applyProtection="1">
      <alignment horizontal="center"/>
      <protection hidden="1"/>
    </xf>
    <xf numFmtId="0" fontId="0" fillId="49" borderId="21" xfId="0" applyFont="1" applyFill="1" applyBorder="1" applyAlignment="1" applyProtection="1">
      <alignment horizontal="center" vertical="center"/>
      <protection hidden="1"/>
    </xf>
    <xf numFmtId="0" fontId="0" fillId="34" borderId="15" xfId="0" applyFont="1" applyFill="1" applyBorder="1" applyAlignment="1" applyProtection="1">
      <alignment horizontal="center"/>
      <protection hidden="1"/>
    </xf>
    <xf numFmtId="0" fontId="0" fillId="34" borderId="6" xfId="0" applyFont="1" applyFill="1" applyBorder="1" applyAlignment="1" applyProtection="1">
      <alignment horizontal="center"/>
      <protection hidden="1"/>
    </xf>
    <xf numFmtId="2" fontId="0" fillId="37" borderId="26" xfId="0" applyNumberFormat="1" applyFont="1" applyFill="1" applyBorder="1" applyAlignment="1" applyProtection="1">
      <alignment horizontal="center"/>
      <protection hidden="1"/>
    </xf>
    <xf numFmtId="2" fontId="16" fillId="46" borderId="7" xfId="0" applyNumberFormat="1" applyFont="1" applyFill="1" applyBorder="1" applyAlignment="1" applyProtection="1">
      <alignment horizontal="center"/>
      <protection locked="0"/>
    </xf>
    <xf numFmtId="0" fontId="30" fillId="34" borderId="16" xfId="0" applyFont="1" applyFill="1" applyBorder="1" applyAlignment="1" applyProtection="1">
      <alignment vertical="center"/>
      <protection hidden="1"/>
    </xf>
    <xf numFmtId="0" fontId="30" fillId="34" borderId="19" xfId="0" applyFont="1" applyFill="1" applyBorder="1" applyAlignment="1" applyProtection="1">
      <alignment vertical="top"/>
      <protection hidden="1"/>
    </xf>
    <xf numFmtId="2" fontId="16" fillId="46" borderId="26" xfId="0" applyNumberFormat="1" applyFont="1" applyFill="1" applyBorder="1" applyAlignment="1" applyProtection="1">
      <alignment horizontal="center"/>
      <protection locked="0"/>
    </xf>
    <xf numFmtId="2" fontId="6" fillId="37" borderId="26" xfId="0" applyNumberFormat="1" applyFont="1" applyFill="1" applyBorder="1" applyAlignment="1" applyProtection="1">
      <alignment horizontal="center"/>
      <protection hidden="1"/>
    </xf>
    <xf numFmtId="2" fontId="16" fillId="0" borderId="26" xfId="0" applyNumberFormat="1" applyFont="1" applyFill="1" applyBorder="1" applyAlignment="1" applyProtection="1">
      <alignment horizontal="center"/>
      <protection locked="0"/>
    </xf>
    <xf numFmtId="0" fontId="0" fillId="50" borderId="7" xfId="0" applyFont="1" applyFill="1" applyBorder="1" applyAlignment="1" applyProtection="1">
      <alignment horizontal="center"/>
      <protection hidden="1"/>
    </xf>
    <xf numFmtId="0" fontId="0" fillId="50" borderId="26" xfId="0" applyFont="1" applyFill="1" applyBorder="1" applyAlignment="1" applyProtection="1">
      <alignment horizontal="center"/>
      <protection hidden="1"/>
    </xf>
    <xf numFmtId="0" fontId="0" fillId="51" borderId="7" xfId="0" applyFont="1" applyFill="1" applyBorder="1" applyAlignment="1" applyProtection="1">
      <alignment horizontal="center"/>
      <protection hidden="1"/>
    </xf>
    <xf numFmtId="0" fontId="0" fillId="27" borderId="7" xfId="0" applyFont="1" applyFill="1" applyBorder="1" applyAlignment="1" applyProtection="1">
      <alignment horizontal="center"/>
      <protection hidden="1"/>
    </xf>
    <xf numFmtId="0" fontId="0" fillId="51" borderId="26" xfId="0" applyFont="1" applyFill="1" applyBorder="1" applyAlignment="1" applyProtection="1">
      <alignment horizontal="center"/>
      <protection hidden="1"/>
    </xf>
    <xf numFmtId="168" fontId="16" fillId="0" borderId="7" xfId="0" applyNumberFormat="1" applyFont="1" applyBorder="1" applyAlignment="1" applyProtection="1">
      <alignment horizontal="center"/>
      <protection locked="0"/>
    </xf>
    <xf numFmtId="177" fontId="16" fillId="0" borderId="7" xfId="0" applyNumberFormat="1" applyFont="1" applyBorder="1" applyAlignment="1" applyProtection="1">
      <alignment horizontal="center"/>
      <protection locked="0"/>
    </xf>
    <xf numFmtId="0" fontId="0" fillId="27" borderId="7" xfId="0" applyFont="1" applyFill="1" applyBorder="1" applyAlignment="1" applyProtection="1">
      <alignment/>
      <protection hidden="1"/>
    </xf>
    <xf numFmtId="177" fontId="6" fillId="37" borderId="7" xfId="0" applyNumberFormat="1" applyFont="1" applyFill="1" applyBorder="1" applyAlignment="1" applyProtection="1">
      <alignment horizontal="center"/>
      <protection hidden="1"/>
    </xf>
    <xf numFmtId="177" fontId="0" fillId="37" borderId="7" xfId="0" applyNumberFormat="1" applyFont="1" applyFill="1" applyBorder="1" applyAlignment="1" applyProtection="1">
      <alignment horizontal="center"/>
      <protection hidden="1"/>
    </xf>
    <xf numFmtId="168" fontId="0" fillId="0" borderId="6" xfId="0" applyNumberFormat="1" applyFont="1" applyFill="1" applyBorder="1" applyAlignment="1" applyProtection="1">
      <alignment horizontal="center" vertical="center"/>
      <protection hidden="1"/>
    </xf>
    <xf numFmtId="176" fontId="0" fillId="37" borderId="29" xfId="0" applyNumberFormat="1" applyFont="1" applyFill="1" applyBorder="1" applyAlignment="1" applyProtection="1">
      <alignment horizontal="center"/>
      <protection hidden="1"/>
    </xf>
    <xf numFmtId="0" fontId="0" fillId="34" borderId="20" xfId="0" applyFont="1" applyFill="1" applyBorder="1" applyAlignment="1" applyProtection="1">
      <alignment/>
      <protection hidden="1"/>
    </xf>
    <xf numFmtId="175" fontId="16" fillId="0" borderId="7" xfId="0" applyNumberFormat="1" applyFont="1" applyBorder="1" applyAlignment="1" applyProtection="1">
      <alignment horizontal="center"/>
      <protection locked="0"/>
    </xf>
    <xf numFmtId="176" fontId="16" fillId="0" borderId="7" xfId="0" applyNumberFormat="1" applyFont="1" applyBorder="1" applyAlignment="1" applyProtection="1">
      <alignment horizontal="center" vertical="center"/>
      <protection locked="0"/>
    </xf>
    <xf numFmtId="191" fontId="34" fillId="0" borderId="6" xfId="0" applyNumberFormat="1" applyFont="1" applyFill="1" applyBorder="1" applyAlignment="1" applyProtection="1">
      <alignment horizontal="center" vertical="center"/>
      <protection hidden="1"/>
    </xf>
    <xf numFmtId="173" fontId="16" fillId="0" borderId="7" xfId="0" applyNumberFormat="1" applyFont="1" applyBorder="1" applyAlignment="1" applyProtection="1">
      <alignment horizontal="center"/>
      <protection locked="0"/>
    </xf>
    <xf numFmtId="195" fontId="34" fillId="37" borderId="7" xfId="0" applyNumberFormat="1" applyFont="1" applyFill="1" applyBorder="1" applyAlignment="1" applyProtection="1">
      <alignment horizontal="center"/>
      <protection hidden="1"/>
    </xf>
    <xf numFmtId="165" fontId="16" fillId="0" borderId="7" xfId="0" applyNumberFormat="1" applyFont="1" applyBorder="1" applyAlignment="1" applyProtection="1">
      <alignment horizontal="center"/>
      <protection locked="0"/>
    </xf>
    <xf numFmtId="191" fontId="0" fillId="34" borderId="6" xfId="0" applyNumberFormat="1" applyFont="1" applyFill="1" applyBorder="1" applyAlignment="1" applyProtection="1">
      <alignment horizontal="center" vertical="center"/>
      <protection hidden="1"/>
    </xf>
    <xf numFmtId="176" fontId="0" fillId="37" borderId="29" xfId="0" applyNumberFormat="1" applyFont="1" applyFill="1" applyBorder="1" applyAlignment="1" applyProtection="1">
      <alignment horizontal="center" vertical="center"/>
      <protection hidden="1"/>
    </xf>
    <xf numFmtId="176" fontId="0" fillId="37" borderId="16" xfId="0" applyNumberFormat="1" applyFont="1" applyFill="1" applyBorder="1" applyAlignment="1" applyProtection="1">
      <alignment horizontal="center" vertical="center"/>
      <protection hidden="1"/>
    </xf>
    <xf numFmtId="0" fontId="29" fillId="39" borderId="0" xfId="0" applyFont="1" applyFill="1" applyBorder="1" applyAlignment="1" applyProtection="1">
      <alignment horizontal="center" vertical="center"/>
      <protection hidden="1"/>
    </xf>
    <xf numFmtId="0" fontId="0" fillId="34" borderId="15" xfId="0" applyFont="1" applyFill="1" applyBorder="1" applyAlignment="1" applyProtection="1">
      <alignment horizontal="left"/>
      <protection hidden="1"/>
    </xf>
    <xf numFmtId="0" fontId="0" fillId="37" borderId="15" xfId="0" applyFont="1" applyFill="1" applyBorder="1" applyAlignment="1" applyProtection="1">
      <alignment/>
      <protection hidden="1"/>
    </xf>
    <xf numFmtId="176" fontId="0" fillId="37" borderId="7" xfId="0" applyNumberFormat="1" applyFont="1" applyFill="1" applyBorder="1" applyAlignment="1" applyProtection="1">
      <alignment horizontal="center" vertical="center"/>
      <protection hidden="1"/>
    </xf>
    <xf numFmtId="176" fontId="0" fillId="37" borderId="6" xfId="0" applyNumberFormat="1" applyFont="1" applyFill="1" applyBorder="1" applyAlignment="1" applyProtection="1">
      <alignment horizontal="center" vertical="center"/>
      <protection hidden="1"/>
    </xf>
    <xf numFmtId="176" fontId="0" fillId="37" borderId="7" xfId="0" applyNumberFormat="1" applyFont="1" applyFill="1" applyBorder="1" applyAlignment="1" applyProtection="1">
      <alignment horizontal="center"/>
      <protection hidden="1"/>
    </xf>
    <xf numFmtId="176" fontId="16" fillId="0" borderId="7" xfId="0" applyNumberFormat="1" applyFont="1" applyFill="1" applyBorder="1" applyAlignment="1" applyProtection="1">
      <alignment horizontal="center" vertical="center"/>
      <protection locked="0"/>
    </xf>
    <xf numFmtId="196" fontId="16" fillId="0" borderId="7" xfId="0" applyNumberFormat="1" applyFont="1" applyBorder="1" applyAlignment="1" applyProtection="1">
      <alignment horizontal="center"/>
      <protection locked="0"/>
    </xf>
    <xf numFmtId="168" fontId="0" fillId="37" borderId="7" xfId="0" applyNumberFormat="1" applyFont="1" applyFill="1" applyBorder="1" applyAlignment="1" applyProtection="1">
      <alignment horizontal="center"/>
      <protection hidden="1"/>
    </xf>
    <xf numFmtId="0" fontId="0" fillId="34" borderId="7" xfId="0" applyFont="1" applyFill="1" applyBorder="1" applyAlignment="1" applyProtection="1">
      <alignment horizontal="center" vertical="center"/>
      <protection hidden="1"/>
    </xf>
    <xf numFmtId="191" fontId="0" fillId="34" borderId="7" xfId="0" applyNumberFormat="1" applyFont="1" applyFill="1" applyBorder="1" applyAlignment="1" applyProtection="1">
      <alignment horizontal="center" vertical="center"/>
      <protection hidden="1"/>
    </xf>
    <xf numFmtId="0" fontId="34" fillId="34" borderId="7" xfId="0" applyFont="1" applyFill="1" applyBorder="1" applyAlignment="1" applyProtection="1">
      <alignment horizontal="center" vertical="center"/>
      <protection hidden="1"/>
    </xf>
    <xf numFmtId="173" fontId="16" fillId="46" borderId="7" xfId="0" applyNumberFormat="1" applyFont="1" applyFill="1" applyBorder="1" applyAlignment="1" applyProtection="1">
      <alignment horizontal="center" vertical="center"/>
      <protection locked="0"/>
    </xf>
    <xf numFmtId="166" fontId="16" fillId="46" borderId="7" xfId="0" applyNumberFormat="1" applyFont="1" applyFill="1" applyBorder="1" applyAlignment="1" applyProtection="1">
      <alignment horizontal="center" vertical="center"/>
      <protection locked="0"/>
    </xf>
    <xf numFmtId="188" fontId="0" fillId="37" borderId="7" xfId="0" applyNumberFormat="1" applyFont="1" applyFill="1" applyBorder="1" applyAlignment="1" applyProtection="1">
      <alignment horizontal="center" vertical="center"/>
      <protection hidden="1"/>
    </xf>
    <xf numFmtId="188" fontId="0" fillId="37" borderId="7" xfId="0" applyNumberFormat="1" applyFont="1" applyFill="1" applyBorder="1" applyAlignment="1" applyProtection="1">
      <alignment horizontal="center"/>
      <protection hidden="1"/>
    </xf>
    <xf numFmtId="0" fontId="29" fillId="39" borderId="0" xfId="0" applyFont="1" applyFill="1" applyBorder="1" applyAlignment="1" applyProtection="1">
      <alignment/>
      <protection hidden="1"/>
    </xf>
    <xf numFmtId="191" fontId="29" fillId="39" borderId="0" xfId="0" applyNumberFormat="1" applyFont="1" applyFill="1" applyBorder="1" applyAlignment="1" applyProtection="1">
      <alignment horizontal="center"/>
      <protection hidden="1"/>
    </xf>
    <xf numFmtId="191" fontId="29" fillId="39" borderId="0" xfId="0" applyNumberFormat="1" applyFont="1" applyFill="1" applyBorder="1" applyAlignment="1" applyProtection="1">
      <alignment horizontal="center" vertical="center"/>
      <protection hidden="1"/>
    </xf>
    <xf numFmtId="174" fontId="16" fillId="0" borderId="7" xfId="0" applyNumberFormat="1" applyFont="1" applyBorder="1" applyAlignment="1" applyProtection="1">
      <alignment horizontal="center"/>
      <protection locked="0"/>
    </xf>
    <xf numFmtId="167" fontId="16" fillId="0" borderId="7" xfId="0" applyNumberFormat="1" applyFont="1" applyBorder="1" applyAlignment="1" applyProtection="1">
      <alignment horizontal="center"/>
      <protection locked="0"/>
    </xf>
    <xf numFmtId="166" fontId="16" fillId="0" borderId="7" xfId="0" applyNumberFormat="1" applyFont="1" applyBorder="1" applyAlignment="1" applyProtection="1">
      <alignment horizontal="center" vertical="center"/>
      <protection locked="0"/>
    </xf>
    <xf numFmtId="174" fontId="16" fillId="0" borderId="7" xfId="0" applyNumberFormat="1" applyFont="1" applyBorder="1" applyAlignment="1" applyProtection="1">
      <alignment horizontal="center" vertical="center"/>
      <protection locked="0"/>
    </xf>
    <xf numFmtId="173" fontId="16" fillId="0" borderId="7" xfId="0" applyNumberFormat="1" applyFont="1" applyBorder="1" applyAlignment="1" applyProtection="1">
      <alignment horizontal="center" vertical="center"/>
      <protection locked="0"/>
    </xf>
    <xf numFmtId="0" fontId="0" fillId="34" borderId="7" xfId="0" applyFont="1" applyFill="1" applyBorder="1" applyAlignment="1" applyProtection="1">
      <alignment vertical="center"/>
      <protection hidden="1"/>
    </xf>
    <xf numFmtId="170" fontId="6" fillId="37" borderId="7" xfId="0" applyNumberFormat="1" applyFont="1" applyFill="1" applyBorder="1" applyAlignment="1" applyProtection="1">
      <alignment horizontal="center"/>
      <protection hidden="1"/>
    </xf>
    <xf numFmtId="182" fontId="16" fillId="0" borderId="18" xfId="0" applyNumberFormat="1" applyFont="1" applyFill="1" applyBorder="1" applyAlignment="1" applyProtection="1">
      <alignment horizontal="center" vertical="top"/>
      <protection locked="0"/>
    </xf>
    <xf numFmtId="0" fontId="0" fillId="27" borderId="7" xfId="0" applyFont="1" applyFill="1" applyBorder="1" applyAlignment="1" applyProtection="1">
      <alignment vertical="center"/>
      <protection hidden="1"/>
    </xf>
    <xf numFmtId="177" fontId="6" fillId="37" borderId="7" xfId="0" applyNumberFormat="1" applyFont="1" applyFill="1" applyBorder="1" applyAlignment="1" applyProtection="1">
      <alignment horizontal="center" vertical="center"/>
      <protection hidden="1"/>
    </xf>
    <xf numFmtId="0" fontId="0" fillId="27" borderId="7" xfId="0" applyFont="1" applyFill="1" applyBorder="1" applyAlignment="1" applyProtection="1">
      <alignment horizontal="left" vertical="center"/>
      <protection hidden="1"/>
    </xf>
    <xf numFmtId="181" fontId="6" fillId="37" borderId="15" xfId="0" applyNumberFormat="1" applyFont="1" applyFill="1" applyBorder="1" applyAlignment="1" applyProtection="1">
      <alignment horizontal="center" vertical="center"/>
      <protection hidden="1"/>
    </xf>
    <xf numFmtId="181" fontId="16" fillId="0" borderId="15" xfId="0" applyNumberFormat="1" applyFont="1" applyFill="1" applyBorder="1" applyAlignment="1" applyProtection="1">
      <alignment horizontal="center" vertical="center"/>
      <protection locked="0"/>
    </xf>
    <xf numFmtId="0" fontId="9" fillId="34" borderId="23" xfId="0" applyFont="1" applyFill="1" applyBorder="1" applyAlignment="1" applyProtection="1">
      <alignment horizontal="center" vertical="center"/>
      <protection hidden="1"/>
    </xf>
    <xf numFmtId="182" fontId="6" fillId="37" borderId="15" xfId="0" applyNumberFormat="1" applyFont="1" applyFill="1" applyBorder="1" applyAlignment="1" applyProtection="1">
      <alignment horizontal="center" vertical="center"/>
      <protection hidden="1"/>
    </xf>
    <xf numFmtId="180" fontId="16" fillId="0" borderId="15" xfId="0" applyNumberFormat="1" applyFont="1" applyFill="1" applyBorder="1" applyAlignment="1" applyProtection="1">
      <alignment horizontal="center" vertical="center"/>
      <protection locked="0"/>
    </xf>
    <xf numFmtId="180" fontId="6" fillId="37" borderId="15" xfId="0" applyNumberFormat="1" applyFont="1" applyFill="1" applyBorder="1" applyAlignment="1" applyProtection="1">
      <alignment horizontal="center" vertical="center"/>
      <protection hidden="1"/>
    </xf>
    <xf numFmtId="180" fontId="16" fillId="0" borderId="7" xfId="0" applyNumberFormat="1" applyFont="1" applyFill="1" applyBorder="1" applyAlignment="1" applyProtection="1">
      <alignment horizontal="center" vertical="center"/>
      <protection locked="0"/>
    </xf>
    <xf numFmtId="179" fontId="16" fillId="0" borderId="15" xfId="0" applyNumberFormat="1" applyFont="1" applyFill="1" applyBorder="1" applyAlignment="1" applyProtection="1">
      <alignment horizontal="center" vertical="center"/>
      <protection locked="0"/>
    </xf>
    <xf numFmtId="0" fontId="30" fillId="34" borderId="23" xfId="0" applyFont="1" applyFill="1" applyBorder="1" applyAlignment="1" applyProtection="1">
      <alignment horizontal="center" vertical="center"/>
      <protection hidden="1"/>
    </xf>
    <xf numFmtId="0" fontId="0" fillId="34" borderId="23" xfId="0" applyFont="1" applyFill="1" applyBorder="1" applyAlignment="1" applyProtection="1">
      <alignment vertical="center"/>
      <protection hidden="1"/>
    </xf>
    <xf numFmtId="0" fontId="26" fillId="34" borderId="30" xfId="0" applyFont="1" applyFill="1" applyBorder="1" applyAlignment="1" applyProtection="1">
      <alignment horizontal="center" vertical="center"/>
      <protection hidden="1"/>
    </xf>
    <xf numFmtId="0" fontId="30" fillId="34" borderId="30" xfId="0" applyFont="1" applyFill="1" applyBorder="1" applyAlignment="1" applyProtection="1">
      <alignment horizontal="center" vertical="center"/>
      <protection hidden="1"/>
    </xf>
    <xf numFmtId="0" fontId="31" fillId="34" borderId="30" xfId="0" applyFont="1" applyFill="1" applyBorder="1" applyAlignment="1" applyProtection="1">
      <alignment horizontal="center" vertical="center"/>
      <protection hidden="1"/>
    </xf>
    <xf numFmtId="0" fontId="6" fillId="34" borderId="23" xfId="0" applyFont="1" applyFill="1" applyBorder="1" applyAlignment="1" applyProtection="1">
      <alignment horizontal="center" vertical="center"/>
      <protection hidden="1"/>
    </xf>
    <xf numFmtId="49" fontId="0" fillId="52" borderId="7" xfId="0" applyNumberFormat="1" applyFont="1" applyFill="1" applyBorder="1" applyAlignment="1" applyProtection="1">
      <alignment horizontal="center"/>
      <protection hidden="1"/>
    </xf>
    <xf numFmtId="0" fontId="30" fillId="34" borderId="29" xfId="0" applyFont="1" applyFill="1" applyBorder="1" applyAlignment="1" applyProtection="1">
      <alignment horizontal="center" vertical="center"/>
      <protection hidden="1"/>
    </xf>
    <xf numFmtId="189" fontId="16" fillId="46" borderId="7" xfId="0" applyNumberFormat="1" applyFont="1" applyFill="1" applyBorder="1" applyAlignment="1" applyProtection="1">
      <alignment horizontal="center" vertical="center"/>
      <protection locked="0"/>
    </xf>
    <xf numFmtId="167" fontId="16" fillId="46" borderId="7" xfId="0" applyNumberFormat="1" applyFont="1" applyFill="1" applyBorder="1" applyAlignment="1" applyProtection="1">
      <alignment horizontal="center" vertical="center"/>
      <protection locked="0"/>
    </xf>
    <xf numFmtId="190" fontId="0" fillId="37" borderId="7" xfId="0" applyNumberFormat="1" applyFont="1" applyFill="1" applyBorder="1" applyAlignment="1" applyProtection="1">
      <alignment horizontal="center" vertical="center"/>
      <protection hidden="1"/>
    </xf>
    <xf numFmtId="0" fontId="0" fillId="37" borderId="7" xfId="0" applyFont="1" applyFill="1" applyBorder="1" applyAlignment="1" applyProtection="1">
      <alignment horizontal="left"/>
      <protection hidden="1"/>
    </xf>
    <xf numFmtId="173" fontId="6" fillId="37" borderId="16" xfId="0" applyNumberFormat="1" applyFont="1" applyFill="1" applyBorder="1" applyAlignment="1" applyProtection="1">
      <alignment horizontal="center"/>
      <protection hidden="1"/>
    </xf>
    <xf numFmtId="0" fontId="0" fillId="37" borderId="6" xfId="0" applyFont="1" applyFill="1" applyBorder="1" applyAlignment="1" applyProtection="1">
      <alignment/>
      <protection hidden="1"/>
    </xf>
    <xf numFmtId="0" fontId="30" fillId="39" borderId="0" xfId="0" applyFont="1" applyFill="1" applyBorder="1" applyAlignment="1" applyProtection="1">
      <alignment horizontal="center" vertical="center"/>
      <protection hidden="1"/>
    </xf>
    <xf numFmtId="171" fontId="42" fillId="39" borderId="0" xfId="0" applyNumberFormat="1" applyFont="1" applyFill="1" applyBorder="1" applyAlignment="1" applyProtection="1">
      <alignment horizontal="left" vertical="center"/>
      <protection hidden="1"/>
    </xf>
    <xf numFmtId="0" fontId="0" fillId="34" borderId="7" xfId="0" applyFill="1" applyBorder="1" applyAlignment="1" applyProtection="1">
      <alignment/>
      <protection hidden="1"/>
    </xf>
    <xf numFmtId="0" fontId="0" fillId="37" borderId="29" xfId="0" applyFont="1" applyFill="1" applyBorder="1" applyAlignment="1" applyProtection="1">
      <alignment horizontal="left" vertical="center"/>
      <protection hidden="1"/>
    </xf>
    <xf numFmtId="193" fontId="0" fillId="37" borderId="7" xfId="229" applyNumberFormat="1" applyFont="1" applyFill="1" applyBorder="1" applyAlignment="1" applyProtection="1">
      <alignment horizontal="center" vertical="center"/>
      <protection hidden="1"/>
    </xf>
    <xf numFmtId="0" fontId="0" fillId="37" borderId="23" xfId="0" applyFont="1" applyFill="1" applyBorder="1" applyAlignment="1" applyProtection="1">
      <alignment horizontal="left" vertical="center"/>
      <protection hidden="1"/>
    </xf>
    <xf numFmtId="0" fontId="0" fillId="37" borderId="6" xfId="0" applyFont="1" applyFill="1" applyBorder="1" applyAlignment="1" applyProtection="1">
      <alignment vertical="center"/>
      <protection hidden="1"/>
    </xf>
    <xf numFmtId="188" fontId="0" fillId="37" borderId="7" xfId="230" applyNumberFormat="1" applyFont="1" applyFill="1" applyBorder="1" applyAlignment="1" applyProtection="1">
      <alignment horizontal="center" vertical="center"/>
      <protection hidden="1"/>
    </xf>
    <xf numFmtId="177" fontId="0" fillId="37" borderId="7" xfId="231" applyNumberFormat="1" applyFont="1" applyFill="1" applyBorder="1" applyAlignment="1" applyProtection="1">
      <alignment horizontal="center" vertical="center"/>
      <protection hidden="1"/>
    </xf>
    <xf numFmtId="0" fontId="0" fillId="34" borderId="6" xfId="0" applyFont="1" applyFill="1" applyBorder="1" applyAlignment="1" applyProtection="1">
      <alignment vertical="center"/>
      <protection hidden="1"/>
    </xf>
    <xf numFmtId="167" fontId="16" fillId="0" borderId="7" xfId="0" applyNumberFormat="1" applyFont="1" applyFill="1" applyBorder="1" applyAlignment="1" applyProtection="1">
      <alignment horizontal="center" vertical="center"/>
      <protection locked="0"/>
    </xf>
    <xf numFmtId="173" fontId="16" fillId="0" borderId="7" xfId="0" applyNumberFormat="1" applyFont="1" applyFill="1" applyBorder="1" applyAlignment="1" applyProtection="1">
      <alignment horizontal="center" vertical="center"/>
      <protection locked="0"/>
    </xf>
    <xf numFmtId="0" fontId="0" fillId="34" borderId="29" xfId="0" applyFont="1" applyFill="1" applyBorder="1" applyAlignment="1" applyProtection="1">
      <alignment vertical="center"/>
      <protection hidden="1"/>
    </xf>
    <xf numFmtId="174" fontId="16" fillId="46" borderId="7" xfId="0" applyNumberFormat="1" applyFont="1" applyFill="1" applyBorder="1" applyAlignment="1" applyProtection="1">
      <alignment horizontal="center" vertical="center"/>
      <protection locked="0"/>
    </xf>
    <xf numFmtId="186" fontId="16" fillId="46" borderId="7" xfId="0" applyNumberFormat="1" applyFont="1" applyFill="1" applyBorder="1" applyAlignment="1" applyProtection="1">
      <alignment horizontal="center" vertical="center"/>
      <protection locked="0"/>
    </xf>
    <xf numFmtId="0" fontId="6" fillId="37" borderId="6" xfId="0" applyFont="1" applyFill="1" applyBorder="1" applyAlignment="1" applyProtection="1">
      <alignment vertical="center"/>
      <protection hidden="1"/>
    </xf>
    <xf numFmtId="168" fontId="6" fillId="37" borderId="7" xfId="0" applyNumberFormat="1" applyFont="1" applyFill="1" applyBorder="1" applyAlignment="1" applyProtection="1">
      <alignment horizontal="center" vertical="center"/>
      <protection hidden="1"/>
    </xf>
    <xf numFmtId="0" fontId="6" fillId="39" borderId="0" xfId="0" applyFont="1" applyFill="1" applyBorder="1" applyAlignment="1" applyProtection="1">
      <alignment vertical="center"/>
      <protection hidden="1"/>
    </xf>
    <xf numFmtId="185" fontId="6" fillId="37" borderId="6" xfId="0" applyNumberFormat="1" applyFont="1" applyFill="1" applyBorder="1" applyAlignment="1" applyProtection="1">
      <alignment horizontal="center" vertical="center"/>
      <protection hidden="1"/>
    </xf>
    <xf numFmtId="0" fontId="6" fillId="37" borderId="4" xfId="0" applyFont="1" applyFill="1" applyBorder="1" applyAlignment="1" applyProtection="1">
      <alignment vertical="center"/>
      <protection hidden="1"/>
    </xf>
    <xf numFmtId="0" fontId="0" fillId="39" borderId="0" xfId="0" applyFont="1" applyFill="1" applyBorder="1" applyAlignment="1" applyProtection="1">
      <alignment/>
      <protection hidden="1"/>
    </xf>
    <xf numFmtId="184" fontId="6" fillId="37" borderId="7" xfId="0" applyNumberFormat="1" applyFont="1" applyFill="1" applyBorder="1" applyAlignment="1" applyProtection="1">
      <alignment horizontal="center" vertical="center"/>
      <protection hidden="1"/>
    </xf>
    <xf numFmtId="0" fontId="6" fillId="34" borderId="6" xfId="0" applyFont="1" applyFill="1" applyBorder="1" applyAlignment="1" applyProtection="1">
      <alignment vertical="center"/>
      <protection hidden="1"/>
    </xf>
    <xf numFmtId="49" fontId="0" fillId="37" borderId="6" xfId="0" applyNumberFormat="1" applyFont="1" applyFill="1" applyBorder="1" applyAlignment="1" applyProtection="1">
      <alignment horizontal="left" vertical="center"/>
      <protection hidden="1"/>
    </xf>
    <xf numFmtId="168" fontId="6" fillId="39" borderId="0" xfId="0" applyNumberFormat="1" applyFont="1" applyFill="1" applyBorder="1" applyAlignment="1" applyProtection="1">
      <alignment horizontal="left" vertical="center"/>
      <protection hidden="1"/>
    </xf>
    <xf numFmtId="168" fontId="0" fillId="37" borderId="7" xfId="0" applyNumberFormat="1" applyFont="1" applyFill="1" applyBorder="1" applyAlignment="1" applyProtection="1">
      <alignment horizontal="center" vertical="center"/>
      <protection hidden="1"/>
    </xf>
    <xf numFmtId="0" fontId="0" fillId="27" borderId="29" xfId="0" applyFont="1" applyFill="1" applyBorder="1" applyAlignment="1" applyProtection="1">
      <alignment/>
      <protection hidden="1"/>
    </xf>
    <xf numFmtId="0" fontId="44" fillId="39" borderId="0" xfId="0" applyFont="1" applyFill="1" applyBorder="1" applyAlignment="1" applyProtection="1">
      <alignment horizontal="center" vertical="center"/>
      <protection hidden="1"/>
    </xf>
    <xf numFmtId="169" fontId="38" fillId="0" borderId="7" xfId="0" applyNumberFormat="1" applyFont="1" applyBorder="1" applyAlignment="1" applyProtection="1">
      <alignment horizontal="center"/>
      <protection locked="0"/>
    </xf>
    <xf numFmtId="169" fontId="34" fillId="37" borderId="7" xfId="0" applyNumberFormat="1" applyFont="1" applyFill="1" applyBorder="1" applyAlignment="1" applyProtection="1">
      <alignment horizontal="center"/>
      <protection hidden="1"/>
    </xf>
    <xf numFmtId="191" fontId="38" fillId="0" borderId="7" xfId="0" applyNumberFormat="1" applyFont="1" applyBorder="1" applyAlignment="1" applyProtection="1">
      <alignment horizontal="center"/>
      <protection locked="0"/>
    </xf>
    <xf numFmtId="191" fontId="34" fillId="37" borderId="7" xfId="0" applyNumberFormat="1" applyFont="1" applyFill="1" applyBorder="1" applyAlignment="1" applyProtection="1">
      <alignment horizontal="center"/>
      <protection hidden="1"/>
    </xf>
  </cellXfs>
  <cellStyles count="2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blassgelb" xfId="42"/>
    <cellStyle name="blassgelb 1" xfId="43"/>
    <cellStyle name="blassgelb 10" xfId="44"/>
    <cellStyle name="blassgelb 2" xfId="45"/>
    <cellStyle name="blassgelb 3" xfId="46"/>
    <cellStyle name="blassgelb 4" xfId="47"/>
    <cellStyle name="blassgelb 5" xfId="48"/>
    <cellStyle name="blassgelb 6" xfId="49"/>
    <cellStyle name="blassgelb 7" xfId="50"/>
    <cellStyle name="blassgelb 8" xfId="51"/>
    <cellStyle name="blassgelb 9" xfId="52"/>
    <cellStyle name="blassgelbschrift" xfId="53"/>
    <cellStyle name="blaugrauschrift" xfId="54"/>
    <cellStyle name="Comma [0]" xfId="55"/>
    <cellStyle name="Eingabe" xfId="56"/>
    <cellStyle name="Ergebnis" xfId="57"/>
    <cellStyle name="Erklärender Text" xfId="58"/>
    <cellStyle name="Gabe1" xfId="59"/>
    <cellStyle name="Gabe2" xfId="60"/>
    <cellStyle name="Gabe2Schwarz" xfId="61"/>
    <cellStyle name="Gabe3" xfId="62"/>
    <cellStyle name="Gabe3Schwarz" xfId="63"/>
    <cellStyle name="Gelb2" xfId="64"/>
    <cellStyle name="Gelb2 1" xfId="65"/>
    <cellStyle name="Gelb2 10" xfId="66"/>
    <cellStyle name="Gelb2 2" xfId="67"/>
    <cellStyle name="Gelb2 3" xfId="68"/>
    <cellStyle name="Gelb2 4" xfId="69"/>
    <cellStyle name="Gelb2 5" xfId="70"/>
    <cellStyle name="Gelb2 6" xfId="71"/>
    <cellStyle name="Gelb2 7" xfId="72"/>
    <cellStyle name="Gelb2 8" xfId="73"/>
    <cellStyle name="Gelb2 9" xfId="74"/>
    <cellStyle name="grau10schrift" xfId="75"/>
    <cellStyle name="grau20" xfId="76"/>
    <cellStyle name="grau20 1" xfId="77"/>
    <cellStyle name="grau20 10" xfId="78"/>
    <cellStyle name="grau20 2" xfId="79"/>
    <cellStyle name="grau20 3" xfId="80"/>
    <cellStyle name="grau20 4" xfId="81"/>
    <cellStyle name="grau20 5" xfId="82"/>
    <cellStyle name="grau20 6" xfId="83"/>
    <cellStyle name="grau20 7" xfId="84"/>
    <cellStyle name="grau20 8" xfId="85"/>
    <cellStyle name="grau20 9" xfId="86"/>
    <cellStyle name="grün3" xfId="87"/>
    <cellStyle name="grün3 1" xfId="88"/>
    <cellStyle name="grün3 10" xfId="89"/>
    <cellStyle name="grün3 2" xfId="90"/>
    <cellStyle name="grün3 3" xfId="91"/>
    <cellStyle name="grün3 4" xfId="92"/>
    <cellStyle name="grün3 5" xfId="93"/>
    <cellStyle name="grün3 6" xfId="94"/>
    <cellStyle name="grün3 7" xfId="95"/>
    <cellStyle name="grün3 8" xfId="96"/>
    <cellStyle name="grün3 9" xfId="97"/>
    <cellStyle name="Gut" xfId="98"/>
    <cellStyle name="hellblau" xfId="99"/>
    <cellStyle name="hellblau 1" xfId="100"/>
    <cellStyle name="hellblau 10" xfId="101"/>
    <cellStyle name="hellblau 2" xfId="102"/>
    <cellStyle name="hellblau 3" xfId="103"/>
    <cellStyle name="hellblau 4" xfId="104"/>
    <cellStyle name="hellblau 5" xfId="105"/>
    <cellStyle name="hellblau 6" xfId="106"/>
    <cellStyle name="hellblau 7" xfId="107"/>
    <cellStyle name="hellblau 8" xfId="108"/>
    <cellStyle name="hellblau 9" xfId="109"/>
    <cellStyle name="hellorangeschrift" xfId="110"/>
    <cellStyle name="Hellrot" xfId="111"/>
    <cellStyle name="Hellrot 1" xfId="112"/>
    <cellStyle name="Hellrot 10" xfId="113"/>
    <cellStyle name="Hellrot 2" xfId="114"/>
    <cellStyle name="Hellrot 3" xfId="115"/>
    <cellStyle name="Hellrot 4" xfId="116"/>
    <cellStyle name="Hellrot 5" xfId="117"/>
    <cellStyle name="Hellrot 6" xfId="118"/>
    <cellStyle name="Hellrot 7" xfId="119"/>
    <cellStyle name="Hellrot 8" xfId="120"/>
    <cellStyle name="Hellrot 9" xfId="121"/>
    <cellStyle name="Hellrotaufgrau" xfId="122"/>
    <cellStyle name="Hellrotschrift" xfId="123"/>
    <cellStyle name="hintergrundblau" xfId="124"/>
    <cellStyle name="hintergrundblau 1" xfId="125"/>
    <cellStyle name="hintergrundblau 10" xfId="126"/>
    <cellStyle name="hintergrundblau 2" xfId="127"/>
    <cellStyle name="hintergrundblau 3" xfId="128"/>
    <cellStyle name="hintergrundblau 4" xfId="129"/>
    <cellStyle name="hintergrundblau 5" xfId="130"/>
    <cellStyle name="hintergrundblau 6" xfId="131"/>
    <cellStyle name="hintergrundblau 7" xfId="132"/>
    <cellStyle name="hintergrundblau 8" xfId="133"/>
    <cellStyle name="hintergrundblau 9" xfId="134"/>
    <cellStyle name="Comma" xfId="135"/>
    <cellStyle name="Hyperlink" xfId="136"/>
    <cellStyle name="Neutral" xfId="137"/>
    <cellStyle name="Notiz" xfId="138"/>
    <cellStyle name="Orange neu 02" xfId="139"/>
    <cellStyle name="Orange neu 02 1" xfId="140"/>
    <cellStyle name="Orange neu 02 10" xfId="141"/>
    <cellStyle name="Orange neu 02 2" xfId="142"/>
    <cellStyle name="Orange neu 02 3" xfId="143"/>
    <cellStyle name="Orange neu 02 4" xfId="144"/>
    <cellStyle name="Orange neu 02 5" xfId="145"/>
    <cellStyle name="Orange neu 02 6" xfId="146"/>
    <cellStyle name="Orange neu 02 7" xfId="147"/>
    <cellStyle name="Orange neu 02 8" xfId="148"/>
    <cellStyle name="Orange neu 02 9" xfId="149"/>
    <cellStyle name="orange neu 2" xfId="150"/>
    <cellStyle name="orange neu 2 1" xfId="151"/>
    <cellStyle name="orange neu 2 10" xfId="152"/>
    <cellStyle name="orange neu 2 2" xfId="153"/>
    <cellStyle name="orange neu 2 3" xfId="154"/>
    <cellStyle name="orange neu 2 4" xfId="155"/>
    <cellStyle name="orange neu 2 5" xfId="156"/>
    <cellStyle name="orange neu 2 6" xfId="157"/>
    <cellStyle name="orange neu 2 7" xfId="158"/>
    <cellStyle name="orange neu 2 8" xfId="159"/>
    <cellStyle name="orange neu 2 9" xfId="160"/>
    <cellStyle name="orange neu 2_neu160ex" xfId="161"/>
    <cellStyle name="Orange2" xfId="162"/>
    <cellStyle name="Orange2 1" xfId="163"/>
    <cellStyle name="Orange2 10" xfId="164"/>
    <cellStyle name="Orange2 2" xfId="165"/>
    <cellStyle name="Orange2 3" xfId="166"/>
    <cellStyle name="Orange2 4" xfId="167"/>
    <cellStyle name="Orange2 5" xfId="168"/>
    <cellStyle name="Orange2 6" xfId="169"/>
    <cellStyle name="Orange2 7" xfId="170"/>
    <cellStyle name="Orange2 8" xfId="171"/>
    <cellStyle name="Orange2 9" xfId="172"/>
    <cellStyle name="Orange3" xfId="173"/>
    <cellStyle name="Orange3 1" xfId="174"/>
    <cellStyle name="Orange3 10" xfId="175"/>
    <cellStyle name="Orange3 2" xfId="176"/>
    <cellStyle name="Orange3 3" xfId="177"/>
    <cellStyle name="Orange3 4" xfId="178"/>
    <cellStyle name="Orange3 5" xfId="179"/>
    <cellStyle name="Orange3 6" xfId="180"/>
    <cellStyle name="Orange3 7" xfId="181"/>
    <cellStyle name="Orange3 8" xfId="182"/>
    <cellStyle name="Orange3 9" xfId="183"/>
    <cellStyle name="orange4" xfId="184"/>
    <cellStyle name="orange4 1" xfId="185"/>
    <cellStyle name="orange4 10" xfId="186"/>
    <cellStyle name="orange4 2" xfId="187"/>
    <cellStyle name="orange4 3" xfId="188"/>
    <cellStyle name="orange4 4" xfId="189"/>
    <cellStyle name="orange4 5" xfId="190"/>
    <cellStyle name="orange4 6" xfId="191"/>
    <cellStyle name="orange4 7" xfId="192"/>
    <cellStyle name="orange4 8" xfId="193"/>
    <cellStyle name="orange4 9" xfId="194"/>
    <cellStyle name="Percent" xfId="195"/>
    <cellStyle name="Rotschrift" xfId="196"/>
    <cellStyle name="Rotschrift 1" xfId="197"/>
    <cellStyle name="Rotschrift 10" xfId="198"/>
    <cellStyle name="Rotschrift 2" xfId="199"/>
    <cellStyle name="Rotschrift 3" xfId="200"/>
    <cellStyle name="Rotschrift 4" xfId="201"/>
    <cellStyle name="Rotschrift 5" xfId="202"/>
    <cellStyle name="Rotschrift 6" xfId="203"/>
    <cellStyle name="Rotschrift 7" xfId="204"/>
    <cellStyle name="Rotschrift 8" xfId="205"/>
    <cellStyle name="Rotschrift 9" xfId="206"/>
    <cellStyle name="Rotschriftgrau" xfId="207"/>
    <cellStyle name="Rotzeichen" xfId="208"/>
    <cellStyle name="Rotzeichen 1" xfId="209"/>
    <cellStyle name="Rotzeichen 10" xfId="210"/>
    <cellStyle name="Rotzeichen 2" xfId="211"/>
    <cellStyle name="Rotzeichen 3" xfId="212"/>
    <cellStyle name="Rotzeichen 4" xfId="213"/>
    <cellStyle name="Rotzeichen 5" xfId="214"/>
    <cellStyle name="Rotzeichen 6" xfId="215"/>
    <cellStyle name="Rotzeichen 7" xfId="216"/>
    <cellStyle name="Rotzeichen 8" xfId="217"/>
    <cellStyle name="Rotzeichen 9" xfId="218"/>
    <cellStyle name="Schlecht" xfId="219"/>
    <cellStyle name="Schüttfehler" xfId="220"/>
    <cellStyle name="Schwarzaufrot" xfId="221"/>
    <cellStyle name="Schwarzschrift" xfId="222"/>
    <cellStyle name="Schwarzschriftkasten" xfId="223"/>
    <cellStyle name="Standard_Brau-Berechnungen" xfId="224"/>
    <cellStyle name="Standard_Brau-Berechnungen 1" xfId="225"/>
    <cellStyle name="Standard_Brau-Berechnungen 2" xfId="226"/>
    <cellStyle name="Standard_Brau-Berechnungen 3" xfId="227"/>
    <cellStyle name="Standard_Brau-Berechnungen 4" xfId="228"/>
    <cellStyle name="Standard_Brau-Berechnungen 5" xfId="229"/>
    <cellStyle name="Standard_Brau-Berechnungen 6" xfId="230"/>
    <cellStyle name="Standard_Brau-Berechnungen 7" xfId="231"/>
    <cellStyle name="Überschrift" xfId="232"/>
    <cellStyle name="Überschrift 1" xfId="233"/>
    <cellStyle name="Überschrift 2" xfId="234"/>
    <cellStyle name="Überschrift 3" xfId="235"/>
    <cellStyle name="Überschrift 4" xfId="236"/>
    <cellStyle name="Unbenannt1" xfId="237"/>
    <cellStyle name="Unbenannt1 1" xfId="238"/>
    <cellStyle name="Unbenannt1 10" xfId="239"/>
    <cellStyle name="Unbenannt1 2" xfId="240"/>
    <cellStyle name="Unbenannt1 3" xfId="241"/>
    <cellStyle name="Unbenannt1 4" xfId="242"/>
    <cellStyle name="Unbenannt1 5" xfId="243"/>
    <cellStyle name="Unbenannt1 6" xfId="244"/>
    <cellStyle name="Unbenannt1 7" xfId="245"/>
    <cellStyle name="Unbenannt1 8" xfId="246"/>
    <cellStyle name="Unbenannt1 9" xfId="247"/>
    <cellStyle name="Unbenannt2" xfId="248"/>
    <cellStyle name="Unbenannt2 1" xfId="249"/>
    <cellStyle name="Unbenannt2 10" xfId="250"/>
    <cellStyle name="Unbenannt2 2" xfId="251"/>
    <cellStyle name="Unbenannt2 3" xfId="252"/>
    <cellStyle name="Unbenannt2 4" xfId="253"/>
    <cellStyle name="Unbenannt2 5" xfId="254"/>
    <cellStyle name="Unbenannt2 6" xfId="255"/>
    <cellStyle name="Unbenannt2 7" xfId="256"/>
    <cellStyle name="Unbenannt2 8" xfId="257"/>
    <cellStyle name="Unbenannt2 9" xfId="258"/>
    <cellStyle name="Verknüpfte Zelle" xfId="259"/>
    <cellStyle name="Currency" xfId="260"/>
    <cellStyle name="Currency [0]" xfId="261"/>
    <cellStyle name="Warnender Text" xfId="262"/>
    <cellStyle name="weisschrift" xfId="263"/>
    <cellStyle name="Zelle überprüfen" xfId="264"/>
  </cellStyles>
  <dxfs count="2">
    <dxf>
      <font>
        <b val="0"/>
        <color indexed="10"/>
      </font>
      <fill>
        <patternFill patternType="none">
          <fgColor indexed="64"/>
          <bgColor indexed="65"/>
        </patternFill>
      </fill>
    </dxf>
    <dxf>
      <font>
        <b val="0"/>
        <color indexed="10"/>
      </font>
      <fill>
        <patternFill patternType="none">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3333"/>
      <rgbColor rgb="0000FFFF"/>
      <rgbColor rgb="00DC2300"/>
      <rgbColor rgb="0023FF23"/>
      <rgbColor rgb="00000080"/>
      <rgbColor rgb="005C8526"/>
      <rgbColor rgb="00E6E6E6"/>
      <rgbColor rgb="000099FF"/>
      <rgbColor rgb="00C0C0C0"/>
      <rgbColor rgb="007DA647"/>
      <rgbColor rgb="00AFD7FF"/>
      <rgbColor rgb="00993366"/>
      <rgbColor rgb="00FFFFCC"/>
      <rgbColor rgb="00CCFFFF"/>
      <rgbColor rgb="00660066"/>
      <rgbColor rgb="00FF8080"/>
      <rgbColor rgb="000066CC"/>
      <rgbColor rgb="00CCCCCC"/>
      <rgbColor rgb="00280099"/>
      <rgbColor rgb="00E6E6FF"/>
      <rgbColor rgb="00FFFF66"/>
      <rgbColor rgb="0000CCCC"/>
      <rgbColor rgb="00800080"/>
      <rgbColor rgb="00CC6633"/>
      <rgbColor rgb="008EFFAA"/>
      <rgbColor rgb="002300DC"/>
      <rgbColor rgb="0000B8FF"/>
      <rgbColor rgb="00CEE6FF"/>
      <rgbColor rgb="00D0F4B9"/>
      <rgbColor rgb="00FFFF99"/>
      <rgbColor rgb="0099CCFF"/>
      <rgbColor rgb="00FF9575"/>
      <rgbColor rgb="00B3B3B3"/>
      <rgbColor rgb="00FFCC99"/>
      <rgbColor rgb="00ABCC90"/>
      <rgbColor rgb="0047B8B8"/>
      <rgbColor rgb="0094BD5E"/>
      <rgbColor rgb="00E6E64C"/>
      <rgbColor rgb="00FF9966"/>
      <rgbColor rgb="00FF6633"/>
      <rgbColor rgb="009966CC"/>
      <rgbColor rgb="00999999"/>
      <rgbColor rgb="00BEE5A2"/>
      <rgbColor rgb="0033CC66"/>
      <rgbColor rgb="00C1F2AC"/>
      <rgbColor rgb="00804C19"/>
      <rgbColor rgb="00B84700"/>
      <rgbColor rgb="00A931C0"/>
      <rgbColor rgb="002323D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5.emf" /><Relationship Id="rId2" Type="http://schemas.openxmlformats.org/officeDocument/2006/relationships/image" Target="../media/image46.emf" /><Relationship Id="rId3" Type="http://schemas.openxmlformats.org/officeDocument/2006/relationships/image" Target="../media/image47.emf" /><Relationship Id="rId4" Type="http://schemas.openxmlformats.org/officeDocument/2006/relationships/image" Target="../media/image48.emf" /><Relationship Id="rId5" Type="http://schemas.openxmlformats.org/officeDocument/2006/relationships/image" Target="../media/image19.emf" /><Relationship Id="rId6" Type="http://schemas.openxmlformats.org/officeDocument/2006/relationships/image" Target="../media/image1.emf" /><Relationship Id="rId7" Type="http://schemas.openxmlformats.org/officeDocument/2006/relationships/image" Target="../media/image2.emf" /><Relationship Id="rId8" Type="http://schemas.openxmlformats.org/officeDocument/2006/relationships/image" Target="../media/image3.emf" /><Relationship Id="rId9" Type="http://schemas.openxmlformats.org/officeDocument/2006/relationships/image" Target="../media/image4.emf" /><Relationship Id="rId10" Type="http://schemas.openxmlformats.org/officeDocument/2006/relationships/image" Target="../media/image5.emf" /><Relationship Id="rId11" Type="http://schemas.openxmlformats.org/officeDocument/2006/relationships/image" Target="../media/image6.emf" /><Relationship Id="rId12" Type="http://schemas.openxmlformats.org/officeDocument/2006/relationships/image" Target="../media/image7.emf" /><Relationship Id="rId13" Type="http://schemas.openxmlformats.org/officeDocument/2006/relationships/image" Target="../media/image8.emf" /><Relationship Id="rId14" Type="http://schemas.openxmlformats.org/officeDocument/2006/relationships/image" Target="../media/image9.emf" /><Relationship Id="rId15" Type="http://schemas.openxmlformats.org/officeDocument/2006/relationships/image" Target="../media/image10.emf" /><Relationship Id="rId16" Type="http://schemas.openxmlformats.org/officeDocument/2006/relationships/image" Target="../media/image11.emf" /><Relationship Id="rId17" Type="http://schemas.openxmlformats.org/officeDocument/2006/relationships/image" Target="../media/image12.emf" /><Relationship Id="rId18" Type="http://schemas.openxmlformats.org/officeDocument/2006/relationships/image" Target="../media/image13.emf" /><Relationship Id="rId19" Type="http://schemas.openxmlformats.org/officeDocument/2006/relationships/image" Target="../media/image14.emf" /><Relationship Id="rId20" Type="http://schemas.openxmlformats.org/officeDocument/2006/relationships/image" Target="../media/image15.emf" /><Relationship Id="rId21" Type="http://schemas.openxmlformats.org/officeDocument/2006/relationships/image" Target="../media/image16.emf" /><Relationship Id="rId22" Type="http://schemas.openxmlformats.org/officeDocument/2006/relationships/image" Target="../media/image17.emf" /><Relationship Id="rId23" Type="http://schemas.openxmlformats.org/officeDocument/2006/relationships/image" Target="../media/image20.emf" /><Relationship Id="rId24" Type="http://schemas.openxmlformats.org/officeDocument/2006/relationships/image" Target="../media/image21.emf" /><Relationship Id="rId25" Type="http://schemas.openxmlformats.org/officeDocument/2006/relationships/image" Target="../media/image22.emf" /><Relationship Id="rId26" Type="http://schemas.openxmlformats.org/officeDocument/2006/relationships/image" Target="../media/image23.emf" /><Relationship Id="rId27" Type="http://schemas.openxmlformats.org/officeDocument/2006/relationships/image" Target="../media/image24.emf" /><Relationship Id="rId28" Type="http://schemas.openxmlformats.org/officeDocument/2006/relationships/image" Target="../media/image25.emf" /><Relationship Id="rId29" Type="http://schemas.openxmlformats.org/officeDocument/2006/relationships/image" Target="../media/image26.emf" /><Relationship Id="rId30" Type="http://schemas.openxmlformats.org/officeDocument/2006/relationships/image" Target="../media/image27.emf" /><Relationship Id="rId31" Type="http://schemas.openxmlformats.org/officeDocument/2006/relationships/image" Target="../media/image28.emf" /><Relationship Id="rId32" Type="http://schemas.openxmlformats.org/officeDocument/2006/relationships/image" Target="../media/image29.emf" /><Relationship Id="rId33" Type="http://schemas.openxmlformats.org/officeDocument/2006/relationships/image" Target="../media/image30.emf" /><Relationship Id="rId34" Type="http://schemas.openxmlformats.org/officeDocument/2006/relationships/image" Target="../media/image31.emf" /><Relationship Id="rId35" Type="http://schemas.openxmlformats.org/officeDocument/2006/relationships/image" Target="../media/image32.emf" /><Relationship Id="rId36" Type="http://schemas.openxmlformats.org/officeDocument/2006/relationships/image" Target="../media/image33.emf" /><Relationship Id="rId37" Type="http://schemas.openxmlformats.org/officeDocument/2006/relationships/image" Target="../media/image34.emf" /><Relationship Id="rId38" Type="http://schemas.openxmlformats.org/officeDocument/2006/relationships/image" Target="../media/image35.emf" /><Relationship Id="rId39" Type="http://schemas.openxmlformats.org/officeDocument/2006/relationships/image" Target="../media/image18.emf" /><Relationship Id="rId40" Type="http://schemas.openxmlformats.org/officeDocument/2006/relationships/image" Target="../media/image36.emf" /><Relationship Id="rId41" Type="http://schemas.openxmlformats.org/officeDocument/2006/relationships/image" Target="../media/image37.emf" /><Relationship Id="rId42" Type="http://schemas.openxmlformats.org/officeDocument/2006/relationships/image" Target="../media/image38.emf" /><Relationship Id="rId43" Type="http://schemas.openxmlformats.org/officeDocument/2006/relationships/image" Target="../media/image39.emf" /><Relationship Id="rId44" Type="http://schemas.openxmlformats.org/officeDocument/2006/relationships/image" Target="../media/image40.emf" /><Relationship Id="rId45" Type="http://schemas.openxmlformats.org/officeDocument/2006/relationships/image" Target="../media/image41.emf" /><Relationship Id="rId46" Type="http://schemas.openxmlformats.org/officeDocument/2006/relationships/image" Target="../media/image42.emf" /><Relationship Id="rId47" Type="http://schemas.openxmlformats.org/officeDocument/2006/relationships/image" Target="../media/image43.emf" /><Relationship Id="rId48" Type="http://schemas.openxmlformats.org/officeDocument/2006/relationships/image" Target="../media/image4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43</xdr:row>
      <xdr:rowOff>76200</xdr:rowOff>
    </xdr:from>
    <xdr:to>
      <xdr:col>19</xdr:col>
      <xdr:colOff>228600</xdr:colOff>
      <xdr:row>44</xdr:row>
      <xdr:rowOff>133350</xdr:rowOff>
    </xdr:to>
    <xdr:grpSp>
      <xdr:nvGrpSpPr>
        <xdr:cNvPr id="1" name="Group 54"/>
        <xdr:cNvGrpSpPr>
          <a:grpSpLocks/>
        </xdr:cNvGrpSpPr>
      </xdr:nvGrpSpPr>
      <xdr:grpSpPr>
        <a:xfrm>
          <a:off x="6381750" y="7267575"/>
          <a:ext cx="190500" cy="219075"/>
          <a:chOff x="10581" y="11519"/>
          <a:chExt cx="314" cy="345"/>
        </a:xfrm>
        <a:solidFill>
          <a:srgbClr val="FFFFFF"/>
        </a:solidFill>
      </xdr:grpSpPr>
      <xdr:sp>
        <xdr:nvSpPr>
          <xdr:cNvPr id="2" name="Freeform 55"/>
          <xdr:cNvSpPr>
            <a:spLocks/>
          </xdr:cNvSpPr>
        </xdr:nvSpPr>
        <xdr:spPr>
          <a:xfrm>
            <a:off x="10581" y="11519"/>
            <a:ext cx="314" cy="345"/>
          </a:xfrm>
          <a:custGeom>
            <a:pathLst>
              <a:path h="608" w="581">
                <a:moveTo>
                  <a:pt x="193" y="406"/>
                </a:moveTo>
                <a:lnTo>
                  <a:pt x="202" y="406"/>
                </a:lnTo>
                <a:lnTo>
                  <a:pt x="212" y="406"/>
                </a:lnTo>
                <a:lnTo>
                  <a:pt x="222" y="404"/>
                </a:lnTo>
                <a:lnTo>
                  <a:pt x="231" y="403"/>
                </a:lnTo>
                <a:lnTo>
                  <a:pt x="241" y="401"/>
                </a:lnTo>
                <a:lnTo>
                  <a:pt x="251" y="399"/>
                </a:lnTo>
                <a:lnTo>
                  <a:pt x="260" y="398"/>
                </a:lnTo>
                <a:lnTo>
                  <a:pt x="269" y="396"/>
                </a:lnTo>
                <a:lnTo>
                  <a:pt x="278" y="392"/>
                </a:lnTo>
                <a:lnTo>
                  <a:pt x="287" y="389"/>
                </a:lnTo>
                <a:lnTo>
                  <a:pt x="296" y="385"/>
                </a:lnTo>
                <a:lnTo>
                  <a:pt x="303" y="382"/>
                </a:lnTo>
                <a:lnTo>
                  <a:pt x="311" y="379"/>
                </a:lnTo>
                <a:lnTo>
                  <a:pt x="319" y="374"/>
                </a:lnTo>
                <a:lnTo>
                  <a:pt x="327" y="370"/>
                </a:lnTo>
                <a:lnTo>
                  <a:pt x="334" y="364"/>
                </a:lnTo>
                <a:lnTo>
                  <a:pt x="340" y="359"/>
                </a:lnTo>
                <a:lnTo>
                  <a:pt x="347" y="355"/>
                </a:lnTo>
                <a:lnTo>
                  <a:pt x="353" y="349"/>
                </a:lnTo>
                <a:lnTo>
                  <a:pt x="358" y="343"/>
                </a:lnTo>
                <a:lnTo>
                  <a:pt x="363" y="337"/>
                </a:lnTo>
                <a:lnTo>
                  <a:pt x="369" y="330"/>
                </a:lnTo>
                <a:lnTo>
                  <a:pt x="372" y="325"/>
                </a:lnTo>
                <a:lnTo>
                  <a:pt x="375" y="318"/>
                </a:lnTo>
                <a:lnTo>
                  <a:pt x="380" y="313"/>
                </a:lnTo>
                <a:lnTo>
                  <a:pt x="382" y="304"/>
                </a:lnTo>
                <a:lnTo>
                  <a:pt x="385" y="301"/>
                </a:lnTo>
                <a:lnTo>
                  <a:pt x="386" y="293"/>
                </a:lnTo>
                <a:lnTo>
                  <a:pt x="388" y="288"/>
                </a:lnTo>
                <a:lnTo>
                  <a:pt x="389" y="279"/>
                </a:lnTo>
                <a:lnTo>
                  <a:pt x="389" y="274"/>
                </a:lnTo>
                <a:lnTo>
                  <a:pt x="389" y="266"/>
                </a:lnTo>
                <a:lnTo>
                  <a:pt x="389" y="261"/>
                </a:lnTo>
                <a:lnTo>
                  <a:pt x="388" y="252"/>
                </a:lnTo>
                <a:lnTo>
                  <a:pt x="386" y="246"/>
                </a:lnTo>
                <a:lnTo>
                  <a:pt x="385" y="238"/>
                </a:lnTo>
                <a:lnTo>
                  <a:pt x="382" y="233"/>
                </a:lnTo>
                <a:lnTo>
                  <a:pt x="379" y="225"/>
                </a:lnTo>
                <a:lnTo>
                  <a:pt x="375" y="220"/>
                </a:lnTo>
                <a:lnTo>
                  <a:pt x="372" y="213"/>
                </a:lnTo>
                <a:lnTo>
                  <a:pt x="368" y="207"/>
                </a:lnTo>
                <a:lnTo>
                  <a:pt x="363" y="201"/>
                </a:lnTo>
                <a:lnTo>
                  <a:pt x="358" y="196"/>
                </a:lnTo>
                <a:lnTo>
                  <a:pt x="352" y="189"/>
                </a:lnTo>
                <a:lnTo>
                  <a:pt x="346" y="183"/>
                </a:lnTo>
                <a:lnTo>
                  <a:pt x="339" y="179"/>
                </a:lnTo>
                <a:lnTo>
                  <a:pt x="333" y="174"/>
                </a:lnTo>
                <a:lnTo>
                  <a:pt x="327" y="170"/>
                </a:lnTo>
                <a:lnTo>
                  <a:pt x="319" y="164"/>
                </a:lnTo>
                <a:lnTo>
                  <a:pt x="311" y="160"/>
                </a:lnTo>
                <a:lnTo>
                  <a:pt x="303" y="156"/>
                </a:lnTo>
                <a:lnTo>
                  <a:pt x="295" y="152"/>
                </a:lnTo>
                <a:lnTo>
                  <a:pt x="286" y="149"/>
                </a:lnTo>
                <a:lnTo>
                  <a:pt x="277" y="147"/>
                </a:lnTo>
                <a:lnTo>
                  <a:pt x="269" y="143"/>
                </a:lnTo>
                <a:lnTo>
                  <a:pt x="259" y="141"/>
                </a:lnTo>
                <a:lnTo>
                  <a:pt x="250" y="139"/>
                </a:lnTo>
                <a:lnTo>
                  <a:pt x="241" y="137"/>
                </a:lnTo>
                <a:lnTo>
                  <a:pt x="230" y="135"/>
                </a:lnTo>
                <a:lnTo>
                  <a:pt x="222" y="134"/>
                </a:lnTo>
                <a:lnTo>
                  <a:pt x="211" y="133"/>
                </a:lnTo>
                <a:lnTo>
                  <a:pt x="202" y="132"/>
                </a:lnTo>
                <a:lnTo>
                  <a:pt x="192" y="132"/>
                </a:lnTo>
                <a:lnTo>
                  <a:pt x="182" y="132"/>
                </a:lnTo>
                <a:lnTo>
                  <a:pt x="171" y="1"/>
                </a:lnTo>
                <a:lnTo>
                  <a:pt x="191" y="0"/>
                </a:lnTo>
                <a:lnTo>
                  <a:pt x="210" y="1"/>
                </a:lnTo>
                <a:lnTo>
                  <a:pt x="230" y="1"/>
                </a:lnTo>
                <a:lnTo>
                  <a:pt x="249" y="3"/>
                </a:lnTo>
                <a:lnTo>
                  <a:pt x="268" y="6"/>
                </a:lnTo>
                <a:lnTo>
                  <a:pt x="286" y="9"/>
                </a:lnTo>
                <a:lnTo>
                  <a:pt x="305" y="13"/>
                </a:lnTo>
                <a:lnTo>
                  <a:pt x="325" y="15"/>
                </a:lnTo>
                <a:lnTo>
                  <a:pt x="342" y="20"/>
                </a:lnTo>
                <a:lnTo>
                  <a:pt x="359" y="26"/>
                </a:lnTo>
                <a:lnTo>
                  <a:pt x="377" y="33"/>
                </a:lnTo>
                <a:lnTo>
                  <a:pt x="395" y="40"/>
                </a:lnTo>
                <a:lnTo>
                  <a:pt x="409" y="46"/>
                </a:lnTo>
                <a:lnTo>
                  <a:pt x="425" y="55"/>
                </a:lnTo>
                <a:lnTo>
                  <a:pt x="440" y="63"/>
                </a:lnTo>
                <a:lnTo>
                  <a:pt x="455" y="72"/>
                </a:lnTo>
                <a:lnTo>
                  <a:pt x="470" y="81"/>
                </a:lnTo>
                <a:lnTo>
                  <a:pt x="482" y="91"/>
                </a:lnTo>
                <a:lnTo>
                  <a:pt x="495" y="102"/>
                </a:lnTo>
                <a:lnTo>
                  <a:pt x="506" y="113"/>
                </a:lnTo>
                <a:lnTo>
                  <a:pt x="518" y="123"/>
                </a:lnTo>
                <a:lnTo>
                  <a:pt x="528" y="134"/>
                </a:lnTo>
                <a:lnTo>
                  <a:pt x="537" y="147"/>
                </a:lnTo>
                <a:lnTo>
                  <a:pt x="545" y="159"/>
                </a:lnTo>
                <a:lnTo>
                  <a:pt x="553" y="172"/>
                </a:lnTo>
                <a:lnTo>
                  <a:pt x="559" y="183"/>
                </a:lnTo>
                <a:lnTo>
                  <a:pt x="565" y="197"/>
                </a:lnTo>
                <a:lnTo>
                  <a:pt x="570" y="210"/>
                </a:lnTo>
                <a:lnTo>
                  <a:pt x="575" y="224"/>
                </a:lnTo>
                <a:lnTo>
                  <a:pt x="577" y="237"/>
                </a:lnTo>
                <a:lnTo>
                  <a:pt x="579" y="251"/>
                </a:lnTo>
                <a:lnTo>
                  <a:pt x="580" y="264"/>
                </a:lnTo>
                <a:lnTo>
                  <a:pt x="580" y="278"/>
                </a:lnTo>
                <a:lnTo>
                  <a:pt x="579" y="291"/>
                </a:lnTo>
                <a:lnTo>
                  <a:pt x="577" y="304"/>
                </a:lnTo>
                <a:lnTo>
                  <a:pt x="575" y="316"/>
                </a:lnTo>
                <a:lnTo>
                  <a:pt x="570" y="329"/>
                </a:lnTo>
                <a:lnTo>
                  <a:pt x="565" y="343"/>
                </a:lnTo>
                <a:lnTo>
                  <a:pt x="560" y="355"/>
                </a:lnTo>
                <a:lnTo>
                  <a:pt x="554" y="368"/>
                </a:lnTo>
                <a:lnTo>
                  <a:pt x="545" y="380"/>
                </a:lnTo>
                <a:lnTo>
                  <a:pt x="537" y="392"/>
                </a:lnTo>
                <a:lnTo>
                  <a:pt x="528" y="404"/>
                </a:lnTo>
                <a:lnTo>
                  <a:pt x="519" y="415"/>
                </a:lnTo>
                <a:lnTo>
                  <a:pt x="507" y="427"/>
                </a:lnTo>
                <a:lnTo>
                  <a:pt x="495" y="437"/>
                </a:lnTo>
                <a:lnTo>
                  <a:pt x="483" y="448"/>
                </a:lnTo>
                <a:lnTo>
                  <a:pt x="470" y="458"/>
                </a:lnTo>
                <a:lnTo>
                  <a:pt x="456" y="467"/>
                </a:lnTo>
                <a:lnTo>
                  <a:pt x="441" y="477"/>
                </a:lnTo>
                <a:lnTo>
                  <a:pt x="427" y="484"/>
                </a:lnTo>
                <a:lnTo>
                  <a:pt x="411" y="492"/>
                </a:lnTo>
                <a:lnTo>
                  <a:pt x="395" y="500"/>
                </a:lnTo>
                <a:lnTo>
                  <a:pt x="378" y="507"/>
                </a:lnTo>
                <a:lnTo>
                  <a:pt x="360" y="512"/>
                </a:lnTo>
                <a:lnTo>
                  <a:pt x="343" y="518"/>
                </a:lnTo>
                <a:lnTo>
                  <a:pt x="325" y="523"/>
                </a:lnTo>
                <a:lnTo>
                  <a:pt x="307" y="527"/>
                </a:lnTo>
                <a:lnTo>
                  <a:pt x="288" y="532"/>
                </a:lnTo>
                <a:lnTo>
                  <a:pt x="269" y="535"/>
                </a:lnTo>
                <a:lnTo>
                  <a:pt x="250" y="537"/>
                </a:lnTo>
                <a:lnTo>
                  <a:pt x="230" y="538"/>
                </a:lnTo>
                <a:lnTo>
                  <a:pt x="211" y="539"/>
                </a:lnTo>
                <a:lnTo>
                  <a:pt x="192" y="539"/>
                </a:lnTo>
                <a:lnTo>
                  <a:pt x="192" y="607"/>
                </a:lnTo>
                <a:lnTo>
                  <a:pt x="0" y="473"/>
                </a:lnTo>
                <a:lnTo>
                  <a:pt x="192" y="339"/>
                </a:lnTo>
                <a:lnTo>
                  <a:pt x="193" y="406"/>
                </a:lnTo>
              </a:path>
            </a:pathLst>
          </a:custGeom>
          <a:solidFill>
            <a:srgbClr val="00AE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0</xdr:colOff>
      <xdr:row>6</xdr:row>
      <xdr:rowOff>28575</xdr:rowOff>
    </xdr:from>
    <xdr:to>
      <xdr:col>10</xdr:col>
      <xdr:colOff>152400</xdr:colOff>
      <xdr:row>6</xdr:row>
      <xdr:rowOff>133350</xdr:rowOff>
    </xdr:to>
    <xdr:pic>
      <xdr:nvPicPr>
        <xdr:cNvPr id="3" name="CommandButton2"/>
        <xdr:cNvPicPr preferRelativeResize="1">
          <a:picLocks noChangeAspect="1"/>
        </xdr:cNvPicPr>
      </xdr:nvPicPr>
      <xdr:blipFill>
        <a:blip r:embed="rId1"/>
        <a:stretch>
          <a:fillRect/>
        </a:stretch>
      </xdr:blipFill>
      <xdr:spPr>
        <a:xfrm>
          <a:off x="3343275" y="1228725"/>
          <a:ext cx="152400" cy="104775"/>
        </a:xfrm>
        <a:prstGeom prst="rect">
          <a:avLst/>
        </a:prstGeom>
        <a:noFill/>
        <a:ln w="9525" cmpd="sng">
          <a:noFill/>
        </a:ln>
      </xdr:spPr>
    </xdr:pic>
    <xdr:clientData/>
  </xdr:twoCellAnchor>
  <xdr:twoCellAnchor editAs="oneCell">
    <xdr:from>
      <xdr:col>10</xdr:col>
      <xdr:colOff>0</xdr:colOff>
      <xdr:row>7</xdr:row>
      <xdr:rowOff>28575</xdr:rowOff>
    </xdr:from>
    <xdr:to>
      <xdr:col>10</xdr:col>
      <xdr:colOff>152400</xdr:colOff>
      <xdr:row>7</xdr:row>
      <xdr:rowOff>133350</xdr:rowOff>
    </xdr:to>
    <xdr:pic>
      <xdr:nvPicPr>
        <xdr:cNvPr id="4" name="CommandButton3"/>
        <xdr:cNvPicPr preferRelativeResize="1">
          <a:picLocks noChangeAspect="1"/>
        </xdr:cNvPicPr>
      </xdr:nvPicPr>
      <xdr:blipFill>
        <a:blip r:embed="rId2"/>
        <a:stretch>
          <a:fillRect/>
        </a:stretch>
      </xdr:blipFill>
      <xdr:spPr>
        <a:xfrm>
          <a:off x="3343275" y="1390650"/>
          <a:ext cx="152400" cy="104775"/>
        </a:xfrm>
        <a:prstGeom prst="rect">
          <a:avLst/>
        </a:prstGeom>
        <a:noFill/>
        <a:ln w="9525" cmpd="sng">
          <a:noFill/>
        </a:ln>
      </xdr:spPr>
    </xdr:pic>
    <xdr:clientData/>
  </xdr:twoCellAnchor>
  <xdr:twoCellAnchor editAs="oneCell">
    <xdr:from>
      <xdr:col>10</xdr:col>
      <xdr:colOff>0</xdr:colOff>
      <xdr:row>8</xdr:row>
      <xdr:rowOff>28575</xdr:rowOff>
    </xdr:from>
    <xdr:to>
      <xdr:col>10</xdr:col>
      <xdr:colOff>152400</xdr:colOff>
      <xdr:row>8</xdr:row>
      <xdr:rowOff>133350</xdr:rowOff>
    </xdr:to>
    <xdr:pic>
      <xdr:nvPicPr>
        <xdr:cNvPr id="5" name="CommandButton4"/>
        <xdr:cNvPicPr preferRelativeResize="1">
          <a:picLocks noChangeAspect="1"/>
        </xdr:cNvPicPr>
      </xdr:nvPicPr>
      <xdr:blipFill>
        <a:blip r:embed="rId3"/>
        <a:stretch>
          <a:fillRect/>
        </a:stretch>
      </xdr:blipFill>
      <xdr:spPr>
        <a:xfrm>
          <a:off x="3343275" y="1552575"/>
          <a:ext cx="152400" cy="104775"/>
        </a:xfrm>
        <a:prstGeom prst="rect">
          <a:avLst/>
        </a:prstGeom>
        <a:noFill/>
        <a:ln w="9525" cmpd="sng">
          <a:noFill/>
        </a:ln>
      </xdr:spPr>
    </xdr:pic>
    <xdr:clientData/>
  </xdr:twoCellAnchor>
  <xdr:twoCellAnchor editAs="oneCell">
    <xdr:from>
      <xdr:col>10</xdr:col>
      <xdr:colOff>0</xdr:colOff>
      <xdr:row>9</xdr:row>
      <xdr:rowOff>28575</xdr:rowOff>
    </xdr:from>
    <xdr:to>
      <xdr:col>10</xdr:col>
      <xdr:colOff>152400</xdr:colOff>
      <xdr:row>9</xdr:row>
      <xdr:rowOff>133350</xdr:rowOff>
    </xdr:to>
    <xdr:pic>
      <xdr:nvPicPr>
        <xdr:cNvPr id="6" name="CommandButton5"/>
        <xdr:cNvPicPr preferRelativeResize="1">
          <a:picLocks noChangeAspect="1"/>
        </xdr:cNvPicPr>
      </xdr:nvPicPr>
      <xdr:blipFill>
        <a:blip r:embed="rId4"/>
        <a:stretch>
          <a:fillRect/>
        </a:stretch>
      </xdr:blipFill>
      <xdr:spPr>
        <a:xfrm>
          <a:off x="3343275" y="1714500"/>
          <a:ext cx="152400" cy="104775"/>
        </a:xfrm>
        <a:prstGeom prst="rect">
          <a:avLst/>
        </a:prstGeom>
        <a:noFill/>
        <a:ln w="9525" cmpd="sng">
          <a:noFill/>
        </a:ln>
      </xdr:spPr>
    </xdr:pic>
    <xdr:clientData/>
  </xdr:twoCellAnchor>
  <xdr:twoCellAnchor editAs="oneCell">
    <xdr:from>
      <xdr:col>10</xdr:col>
      <xdr:colOff>0</xdr:colOff>
      <xdr:row>10</xdr:row>
      <xdr:rowOff>28575</xdr:rowOff>
    </xdr:from>
    <xdr:to>
      <xdr:col>10</xdr:col>
      <xdr:colOff>152400</xdr:colOff>
      <xdr:row>10</xdr:row>
      <xdr:rowOff>133350</xdr:rowOff>
    </xdr:to>
    <xdr:pic>
      <xdr:nvPicPr>
        <xdr:cNvPr id="7" name="CommandButton6"/>
        <xdr:cNvPicPr preferRelativeResize="1">
          <a:picLocks noChangeAspect="1"/>
        </xdr:cNvPicPr>
      </xdr:nvPicPr>
      <xdr:blipFill>
        <a:blip r:embed="rId5"/>
        <a:stretch>
          <a:fillRect/>
        </a:stretch>
      </xdr:blipFill>
      <xdr:spPr>
        <a:xfrm>
          <a:off x="3343275" y="1876425"/>
          <a:ext cx="152400" cy="104775"/>
        </a:xfrm>
        <a:prstGeom prst="rect">
          <a:avLst/>
        </a:prstGeom>
        <a:noFill/>
        <a:ln w="9525" cmpd="sng">
          <a:noFill/>
        </a:ln>
      </xdr:spPr>
    </xdr:pic>
    <xdr:clientData/>
  </xdr:twoCellAnchor>
  <xdr:twoCellAnchor editAs="oneCell">
    <xdr:from>
      <xdr:col>10</xdr:col>
      <xdr:colOff>0</xdr:colOff>
      <xdr:row>11</xdr:row>
      <xdr:rowOff>28575</xdr:rowOff>
    </xdr:from>
    <xdr:to>
      <xdr:col>10</xdr:col>
      <xdr:colOff>152400</xdr:colOff>
      <xdr:row>11</xdr:row>
      <xdr:rowOff>133350</xdr:rowOff>
    </xdr:to>
    <xdr:pic>
      <xdr:nvPicPr>
        <xdr:cNvPr id="8" name="CommandButton7"/>
        <xdr:cNvPicPr preferRelativeResize="1">
          <a:picLocks noChangeAspect="1"/>
        </xdr:cNvPicPr>
      </xdr:nvPicPr>
      <xdr:blipFill>
        <a:blip r:embed="rId6"/>
        <a:stretch>
          <a:fillRect/>
        </a:stretch>
      </xdr:blipFill>
      <xdr:spPr>
        <a:xfrm>
          <a:off x="3343275" y="2038350"/>
          <a:ext cx="152400" cy="104775"/>
        </a:xfrm>
        <a:prstGeom prst="rect">
          <a:avLst/>
        </a:prstGeom>
        <a:noFill/>
        <a:ln w="9525" cmpd="sng">
          <a:noFill/>
        </a:ln>
      </xdr:spPr>
    </xdr:pic>
    <xdr:clientData/>
  </xdr:twoCellAnchor>
  <xdr:twoCellAnchor editAs="oneCell">
    <xdr:from>
      <xdr:col>11</xdr:col>
      <xdr:colOff>66675</xdr:colOff>
      <xdr:row>12</xdr:row>
      <xdr:rowOff>28575</xdr:rowOff>
    </xdr:from>
    <xdr:to>
      <xdr:col>11</xdr:col>
      <xdr:colOff>219075</xdr:colOff>
      <xdr:row>12</xdr:row>
      <xdr:rowOff>133350</xdr:rowOff>
    </xdr:to>
    <xdr:pic>
      <xdr:nvPicPr>
        <xdr:cNvPr id="9" name="CommandButton8"/>
        <xdr:cNvPicPr preferRelativeResize="1">
          <a:picLocks noChangeAspect="1"/>
        </xdr:cNvPicPr>
      </xdr:nvPicPr>
      <xdr:blipFill>
        <a:blip r:embed="rId7"/>
        <a:stretch>
          <a:fillRect/>
        </a:stretch>
      </xdr:blipFill>
      <xdr:spPr>
        <a:xfrm>
          <a:off x="3743325" y="2200275"/>
          <a:ext cx="152400" cy="104775"/>
        </a:xfrm>
        <a:prstGeom prst="rect">
          <a:avLst/>
        </a:prstGeom>
        <a:noFill/>
        <a:ln w="9525" cmpd="sng">
          <a:noFill/>
        </a:ln>
      </xdr:spPr>
    </xdr:pic>
    <xdr:clientData/>
  </xdr:twoCellAnchor>
  <xdr:twoCellAnchor editAs="oneCell">
    <xdr:from>
      <xdr:col>10</xdr:col>
      <xdr:colOff>0</xdr:colOff>
      <xdr:row>13</xdr:row>
      <xdr:rowOff>28575</xdr:rowOff>
    </xdr:from>
    <xdr:to>
      <xdr:col>10</xdr:col>
      <xdr:colOff>152400</xdr:colOff>
      <xdr:row>13</xdr:row>
      <xdr:rowOff>133350</xdr:rowOff>
    </xdr:to>
    <xdr:pic>
      <xdr:nvPicPr>
        <xdr:cNvPr id="10" name="CommandButton9"/>
        <xdr:cNvPicPr preferRelativeResize="1">
          <a:picLocks noChangeAspect="1"/>
        </xdr:cNvPicPr>
      </xdr:nvPicPr>
      <xdr:blipFill>
        <a:blip r:embed="rId8"/>
        <a:stretch>
          <a:fillRect/>
        </a:stretch>
      </xdr:blipFill>
      <xdr:spPr>
        <a:xfrm>
          <a:off x="3343275" y="2362200"/>
          <a:ext cx="152400" cy="104775"/>
        </a:xfrm>
        <a:prstGeom prst="rect">
          <a:avLst/>
        </a:prstGeom>
        <a:noFill/>
        <a:ln w="9525" cmpd="sng">
          <a:noFill/>
        </a:ln>
      </xdr:spPr>
    </xdr:pic>
    <xdr:clientData/>
  </xdr:twoCellAnchor>
  <xdr:twoCellAnchor editAs="oneCell">
    <xdr:from>
      <xdr:col>10</xdr:col>
      <xdr:colOff>0</xdr:colOff>
      <xdr:row>14</xdr:row>
      <xdr:rowOff>28575</xdr:rowOff>
    </xdr:from>
    <xdr:to>
      <xdr:col>10</xdr:col>
      <xdr:colOff>152400</xdr:colOff>
      <xdr:row>14</xdr:row>
      <xdr:rowOff>133350</xdr:rowOff>
    </xdr:to>
    <xdr:pic>
      <xdr:nvPicPr>
        <xdr:cNvPr id="11" name="CommandButton10"/>
        <xdr:cNvPicPr preferRelativeResize="1">
          <a:picLocks noChangeAspect="1"/>
        </xdr:cNvPicPr>
      </xdr:nvPicPr>
      <xdr:blipFill>
        <a:blip r:embed="rId9"/>
        <a:stretch>
          <a:fillRect/>
        </a:stretch>
      </xdr:blipFill>
      <xdr:spPr>
        <a:xfrm>
          <a:off x="3343275" y="2524125"/>
          <a:ext cx="152400" cy="104775"/>
        </a:xfrm>
        <a:prstGeom prst="rect">
          <a:avLst/>
        </a:prstGeom>
        <a:noFill/>
        <a:ln w="9525" cmpd="sng">
          <a:noFill/>
        </a:ln>
      </xdr:spPr>
    </xdr:pic>
    <xdr:clientData/>
  </xdr:twoCellAnchor>
  <xdr:twoCellAnchor editAs="oneCell">
    <xdr:from>
      <xdr:col>10</xdr:col>
      <xdr:colOff>0</xdr:colOff>
      <xdr:row>15</xdr:row>
      <xdr:rowOff>28575</xdr:rowOff>
    </xdr:from>
    <xdr:to>
      <xdr:col>10</xdr:col>
      <xdr:colOff>152400</xdr:colOff>
      <xdr:row>15</xdr:row>
      <xdr:rowOff>133350</xdr:rowOff>
    </xdr:to>
    <xdr:pic>
      <xdr:nvPicPr>
        <xdr:cNvPr id="12" name="CommandButton11"/>
        <xdr:cNvPicPr preferRelativeResize="1">
          <a:picLocks noChangeAspect="1"/>
        </xdr:cNvPicPr>
      </xdr:nvPicPr>
      <xdr:blipFill>
        <a:blip r:embed="rId10"/>
        <a:stretch>
          <a:fillRect/>
        </a:stretch>
      </xdr:blipFill>
      <xdr:spPr>
        <a:xfrm>
          <a:off x="3343275" y="2686050"/>
          <a:ext cx="152400" cy="104775"/>
        </a:xfrm>
        <a:prstGeom prst="rect">
          <a:avLst/>
        </a:prstGeom>
        <a:noFill/>
        <a:ln w="9525" cmpd="sng">
          <a:noFill/>
        </a:ln>
      </xdr:spPr>
    </xdr:pic>
    <xdr:clientData/>
  </xdr:twoCellAnchor>
  <xdr:twoCellAnchor editAs="oneCell">
    <xdr:from>
      <xdr:col>10</xdr:col>
      <xdr:colOff>0</xdr:colOff>
      <xdr:row>16</xdr:row>
      <xdr:rowOff>28575</xdr:rowOff>
    </xdr:from>
    <xdr:to>
      <xdr:col>10</xdr:col>
      <xdr:colOff>152400</xdr:colOff>
      <xdr:row>16</xdr:row>
      <xdr:rowOff>133350</xdr:rowOff>
    </xdr:to>
    <xdr:pic>
      <xdr:nvPicPr>
        <xdr:cNvPr id="13" name="CommandButton12"/>
        <xdr:cNvPicPr preferRelativeResize="1">
          <a:picLocks noChangeAspect="1"/>
        </xdr:cNvPicPr>
      </xdr:nvPicPr>
      <xdr:blipFill>
        <a:blip r:embed="rId11"/>
        <a:stretch>
          <a:fillRect/>
        </a:stretch>
      </xdr:blipFill>
      <xdr:spPr>
        <a:xfrm>
          <a:off x="3343275" y="2847975"/>
          <a:ext cx="152400" cy="104775"/>
        </a:xfrm>
        <a:prstGeom prst="rect">
          <a:avLst/>
        </a:prstGeom>
        <a:noFill/>
        <a:ln w="9525" cmpd="sng">
          <a:noFill/>
        </a:ln>
      </xdr:spPr>
    </xdr:pic>
    <xdr:clientData/>
  </xdr:twoCellAnchor>
  <xdr:twoCellAnchor editAs="oneCell">
    <xdr:from>
      <xdr:col>10</xdr:col>
      <xdr:colOff>0</xdr:colOff>
      <xdr:row>17</xdr:row>
      <xdr:rowOff>28575</xdr:rowOff>
    </xdr:from>
    <xdr:to>
      <xdr:col>10</xdr:col>
      <xdr:colOff>152400</xdr:colOff>
      <xdr:row>17</xdr:row>
      <xdr:rowOff>133350</xdr:rowOff>
    </xdr:to>
    <xdr:pic>
      <xdr:nvPicPr>
        <xdr:cNvPr id="14" name="CommandButton13"/>
        <xdr:cNvPicPr preferRelativeResize="1">
          <a:picLocks noChangeAspect="1"/>
        </xdr:cNvPicPr>
      </xdr:nvPicPr>
      <xdr:blipFill>
        <a:blip r:embed="rId12"/>
        <a:stretch>
          <a:fillRect/>
        </a:stretch>
      </xdr:blipFill>
      <xdr:spPr>
        <a:xfrm>
          <a:off x="3343275" y="3009900"/>
          <a:ext cx="152400" cy="104775"/>
        </a:xfrm>
        <a:prstGeom prst="rect">
          <a:avLst/>
        </a:prstGeom>
        <a:noFill/>
        <a:ln w="9525" cmpd="sng">
          <a:noFill/>
        </a:ln>
      </xdr:spPr>
    </xdr:pic>
    <xdr:clientData/>
  </xdr:twoCellAnchor>
  <xdr:twoCellAnchor editAs="oneCell">
    <xdr:from>
      <xdr:col>10</xdr:col>
      <xdr:colOff>0</xdr:colOff>
      <xdr:row>18</xdr:row>
      <xdr:rowOff>28575</xdr:rowOff>
    </xdr:from>
    <xdr:to>
      <xdr:col>10</xdr:col>
      <xdr:colOff>152400</xdr:colOff>
      <xdr:row>18</xdr:row>
      <xdr:rowOff>133350</xdr:rowOff>
    </xdr:to>
    <xdr:pic>
      <xdr:nvPicPr>
        <xdr:cNvPr id="15" name="CommandButton14"/>
        <xdr:cNvPicPr preferRelativeResize="1">
          <a:picLocks noChangeAspect="1"/>
        </xdr:cNvPicPr>
      </xdr:nvPicPr>
      <xdr:blipFill>
        <a:blip r:embed="rId13"/>
        <a:stretch>
          <a:fillRect/>
        </a:stretch>
      </xdr:blipFill>
      <xdr:spPr>
        <a:xfrm>
          <a:off x="3343275" y="3171825"/>
          <a:ext cx="152400" cy="104775"/>
        </a:xfrm>
        <a:prstGeom prst="rect">
          <a:avLst/>
        </a:prstGeom>
        <a:noFill/>
        <a:ln w="9525" cmpd="sng">
          <a:noFill/>
        </a:ln>
      </xdr:spPr>
    </xdr:pic>
    <xdr:clientData/>
  </xdr:twoCellAnchor>
  <xdr:twoCellAnchor editAs="oneCell">
    <xdr:from>
      <xdr:col>10</xdr:col>
      <xdr:colOff>0</xdr:colOff>
      <xdr:row>19</xdr:row>
      <xdr:rowOff>28575</xdr:rowOff>
    </xdr:from>
    <xdr:to>
      <xdr:col>10</xdr:col>
      <xdr:colOff>152400</xdr:colOff>
      <xdr:row>19</xdr:row>
      <xdr:rowOff>133350</xdr:rowOff>
    </xdr:to>
    <xdr:pic>
      <xdr:nvPicPr>
        <xdr:cNvPr id="16" name="CommandButton15"/>
        <xdr:cNvPicPr preferRelativeResize="1">
          <a:picLocks noChangeAspect="1"/>
        </xdr:cNvPicPr>
      </xdr:nvPicPr>
      <xdr:blipFill>
        <a:blip r:embed="rId14"/>
        <a:stretch>
          <a:fillRect/>
        </a:stretch>
      </xdr:blipFill>
      <xdr:spPr>
        <a:xfrm>
          <a:off x="3343275" y="3333750"/>
          <a:ext cx="152400" cy="104775"/>
        </a:xfrm>
        <a:prstGeom prst="rect">
          <a:avLst/>
        </a:prstGeom>
        <a:noFill/>
        <a:ln w="9525" cmpd="sng">
          <a:noFill/>
        </a:ln>
      </xdr:spPr>
    </xdr:pic>
    <xdr:clientData/>
  </xdr:twoCellAnchor>
  <xdr:twoCellAnchor editAs="oneCell">
    <xdr:from>
      <xdr:col>10</xdr:col>
      <xdr:colOff>0</xdr:colOff>
      <xdr:row>20</xdr:row>
      <xdr:rowOff>28575</xdr:rowOff>
    </xdr:from>
    <xdr:to>
      <xdr:col>10</xdr:col>
      <xdr:colOff>152400</xdr:colOff>
      <xdr:row>20</xdr:row>
      <xdr:rowOff>133350</xdr:rowOff>
    </xdr:to>
    <xdr:pic>
      <xdr:nvPicPr>
        <xdr:cNvPr id="17" name="CommandButton16"/>
        <xdr:cNvPicPr preferRelativeResize="1">
          <a:picLocks noChangeAspect="1"/>
        </xdr:cNvPicPr>
      </xdr:nvPicPr>
      <xdr:blipFill>
        <a:blip r:embed="rId15"/>
        <a:stretch>
          <a:fillRect/>
        </a:stretch>
      </xdr:blipFill>
      <xdr:spPr>
        <a:xfrm>
          <a:off x="3343275" y="3495675"/>
          <a:ext cx="152400" cy="104775"/>
        </a:xfrm>
        <a:prstGeom prst="rect">
          <a:avLst/>
        </a:prstGeom>
        <a:noFill/>
        <a:ln w="9525" cmpd="sng">
          <a:noFill/>
        </a:ln>
      </xdr:spPr>
    </xdr:pic>
    <xdr:clientData/>
  </xdr:twoCellAnchor>
  <xdr:twoCellAnchor editAs="oneCell">
    <xdr:from>
      <xdr:col>10</xdr:col>
      <xdr:colOff>0</xdr:colOff>
      <xdr:row>21</xdr:row>
      <xdr:rowOff>28575</xdr:rowOff>
    </xdr:from>
    <xdr:to>
      <xdr:col>10</xdr:col>
      <xdr:colOff>152400</xdr:colOff>
      <xdr:row>21</xdr:row>
      <xdr:rowOff>133350</xdr:rowOff>
    </xdr:to>
    <xdr:pic>
      <xdr:nvPicPr>
        <xdr:cNvPr id="18" name="CommandButton17"/>
        <xdr:cNvPicPr preferRelativeResize="1">
          <a:picLocks noChangeAspect="1"/>
        </xdr:cNvPicPr>
      </xdr:nvPicPr>
      <xdr:blipFill>
        <a:blip r:embed="rId16"/>
        <a:stretch>
          <a:fillRect/>
        </a:stretch>
      </xdr:blipFill>
      <xdr:spPr>
        <a:xfrm>
          <a:off x="3343275" y="3657600"/>
          <a:ext cx="152400" cy="104775"/>
        </a:xfrm>
        <a:prstGeom prst="rect">
          <a:avLst/>
        </a:prstGeom>
        <a:noFill/>
        <a:ln w="9525" cmpd="sng">
          <a:noFill/>
        </a:ln>
      </xdr:spPr>
    </xdr:pic>
    <xdr:clientData/>
  </xdr:twoCellAnchor>
  <xdr:twoCellAnchor editAs="oneCell">
    <xdr:from>
      <xdr:col>10</xdr:col>
      <xdr:colOff>0</xdr:colOff>
      <xdr:row>22</xdr:row>
      <xdr:rowOff>28575</xdr:rowOff>
    </xdr:from>
    <xdr:to>
      <xdr:col>10</xdr:col>
      <xdr:colOff>152400</xdr:colOff>
      <xdr:row>22</xdr:row>
      <xdr:rowOff>133350</xdr:rowOff>
    </xdr:to>
    <xdr:pic>
      <xdr:nvPicPr>
        <xdr:cNvPr id="19" name="CommandButton18"/>
        <xdr:cNvPicPr preferRelativeResize="1">
          <a:picLocks noChangeAspect="1"/>
        </xdr:cNvPicPr>
      </xdr:nvPicPr>
      <xdr:blipFill>
        <a:blip r:embed="rId17"/>
        <a:stretch>
          <a:fillRect/>
        </a:stretch>
      </xdr:blipFill>
      <xdr:spPr>
        <a:xfrm>
          <a:off x="3343275" y="3819525"/>
          <a:ext cx="152400" cy="104775"/>
        </a:xfrm>
        <a:prstGeom prst="rect">
          <a:avLst/>
        </a:prstGeom>
        <a:noFill/>
        <a:ln w="9525" cmpd="sng">
          <a:noFill/>
        </a:ln>
      </xdr:spPr>
    </xdr:pic>
    <xdr:clientData/>
  </xdr:twoCellAnchor>
  <xdr:twoCellAnchor editAs="oneCell">
    <xdr:from>
      <xdr:col>10</xdr:col>
      <xdr:colOff>0</xdr:colOff>
      <xdr:row>23</xdr:row>
      <xdr:rowOff>28575</xdr:rowOff>
    </xdr:from>
    <xdr:to>
      <xdr:col>10</xdr:col>
      <xdr:colOff>152400</xdr:colOff>
      <xdr:row>23</xdr:row>
      <xdr:rowOff>133350</xdr:rowOff>
    </xdr:to>
    <xdr:pic>
      <xdr:nvPicPr>
        <xdr:cNvPr id="20" name="CommandButton19"/>
        <xdr:cNvPicPr preferRelativeResize="1">
          <a:picLocks noChangeAspect="1"/>
        </xdr:cNvPicPr>
      </xdr:nvPicPr>
      <xdr:blipFill>
        <a:blip r:embed="rId18"/>
        <a:stretch>
          <a:fillRect/>
        </a:stretch>
      </xdr:blipFill>
      <xdr:spPr>
        <a:xfrm>
          <a:off x="3343275" y="3981450"/>
          <a:ext cx="152400" cy="104775"/>
        </a:xfrm>
        <a:prstGeom prst="rect">
          <a:avLst/>
        </a:prstGeom>
        <a:noFill/>
        <a:ln w="9525" cmpd="sng">
          <a:noFill/>
        </a:ln>
      </xdr:spPr>
    </xdr:pic>
    <xdr:clientData/>
  </xdr:twoCellAnchor>
  <xdr:twoCellAnchor editAs="oneCell">
    <xdr:from>
      <xdr:col>10</xdr:col>
      <xdr:colOff>0</xdr:colOff>
      <xdr:row>24</xdr:row>
      <xdr:rowOff>28575</xdr:rowOff>
    </xdr:from>
    <xdr:to>
      <xdr:col>10</xdr:col>
      <xdr:colOff>152400</xdr:colOff>
      <xdr:row>24</xdr:row>
      <xdr:rowOff>133350</xdr:rowOff>
    </xdr:to>
    <xdr:pic>
      <xdr:nvPicPr>
        <xdr:cNvPr id="21" name="CommandButton20"/>
        <xdr:cNvPicPr preferRelativeResize="1">
          <a:picLocks noChangeAspect="1"/>
        </xdr:cNvPicPr>
      </xdr:nvPicPr>
      <xdr:blipFill>
        <a:blip r:embed="rId19"/>
        <a:stretch>
          <a:fillRect/>
        </a:stretch>
      </xdr:blipFill>
      <xdr:spPr>
        <a:xfrm>
          <a:off x="3343275" y="4143375"/>
          <a:ext cx="152400" cy="104775"/>
        </a:xfrm>
        <a:prstGeom prst="rect">
          <a:avLst/>
        </a:prstGeom>
        <a:noFill/>
        <a:ln w="9525" cmpd="sng">
          <a:noFill/>
        </a:ln>
      </xdr:spPr>
    </xdr:pic>
    <xdr:clientData/>
  </xdr:twoCellAnchor>
  <xdr:twoCellAnchor editAs="oneCell">
    <xdr:from>
      <xdr:col>10</xdr:col>
      <xdr:colOff>0</xdr:colOff>
      <xdr:row>25</xdr:row>
      <xdr:rowOff>28575</xdr:rowOff>
    </xdr:from>
    <xdr:to>
      <xdr:col>10</xdr:col>
      <xdr:colOff>152400</xdr:colOff>
      <xdr:row>25</xdr:row>
      <xdr:rowOff>133350</xdr:rowOff>
    </xdr:to>
    <xdr:pic>
      <xdr:nvPicPr>
        <xdr:cNvPr id="22" name="CommandButton21"/>
        <xdr:cNvPicPr preferRelativeResize="1">
          <a:picLocks noChangeAspect="1"/>
        </xdr:cNvPicPr>
      </xdr:nvPicPr>
      <xdr:blipFill>
        <a:blip r:embed="rId20"/>
        <a:stretch>
          <a:fillRect/>
        </a:stretch>
      </xdr:blipFill>
      <xdr:spPr>
        <a:xfrm>
          <a:off x="3343275" y="4305300"/>
          <a:ext cx="152400" cy="104775"/>
        </a:xfrm>
        <a:prstGeom prst="rect">
          <a:avLst/>
        </a:prstGeom>
        <a:noFill/>
        <a:ln w="9525" cmpd="sng">
          <a:noFill/>
        </a:ln>
      </xdr:spPr>
    </xdr:pic>
    <xdr:clientData/>
  </xdr:twoCellAnchor>
  <xdr:twoCellAnchor editAs="oneCell">
    <xdr:from>
      <xdr:col>10</xdr:col>
      <xdr:colOff>0</xdr:colOff>
      <xdr:row>26</xdr:row>
      <xdr:rowOff>28575</xdr:rowOff>
    </xdr:from>
    <xdr:to>
      <xdr:col>10</xdr:col>
      <xdr:colOff>152400</xdr:colOff>
      <xdr:row>26</xdr:row>
      <xdr:rowOff>133350</xdr:rowOff>
    </xdr:to>
    <xdr:pic>
      <xdr:nvPicPr>
        <xdr:cNvPr id="23" name="CommandButton22"/>
        <xdr:cNvPicPr preferRelativeResize="1">
          <a:picLocks noChangeAspect="1"/>
        </xdr:cNvPicPr>
      </xdr:nvPicPr>
      <xdr:blipFill>
        <a:blip r:embed="rId21"/>
        <a:stretch>
          <a:fillRect/>
        </a:stretch>
      </xdr:blipFill>
      <xdr:spPr>
        <a:xfrm>
          <a:off x="3343275" y="4467225"/>
          <a:ext cx="152400" cy="104775"/>
        </a:xfrm>
        <a:prstGeom prst="rect">
          <a:avLst/>
        </a:prstGeom>
        <a:noFill/>
        <a:ln w="9525" cmpd="sng">
          <a:noFill/>
        </a:ln>
      </xdr:spPr>
    </xdr:pic>
    <xdr:clientData/>
  </xdr:twoCellAnchor>
  <xdr:twoCellAnchor editAs="oneCell">
    <xdr:from>
      <xdr:col>10</xdr:col>
      <xdr:colOff>0</xdr:colOff>
      <xdr:row>27</xdr:row>
      <xdr:rowOff>28575</xdr:rowOff>
    </xdr:from>
    <xdr:to>
      <xdr:col>10</xdr:col>
      <xdr:colOff>152400</xdr:colOff>
      <xdr:row>27</xdr:row>
      <xdr:rowOff>133350</xdr:rowOff>
    </xdr:to>
    <xdr:pic>
      <xdr:nvPicPr>
        <xdr:cNvPr id="24" name="CommandButton23"/>
        <xdr:cNvPicPr preferRelativeResize="1">
          <a:picLocks noChangeAspect="1"/>
        </xdr:cNvPicPr>
      </xdr:nvPicPr>
      <xdr:blipFill>
        <a:blip r:embed="rId22"/>
        <a:stretch>
          <a:fillRect/>
        </a:stretch>
      </xdr:blipFill>
      <xdr:spPr>
        <a:xfrm>
          <a:off x="3343275" y="4629150"/>
          <a:ext cx="152400" cy="104775"/>
        </a:xfrm>
        <a:prstGeom prst="rect">
          <a:avLst/>
        </a:prstGeom>
        <a:noFill/>
        <a:ln w="9525" cmpd="sng">
          <a:noFill/>
        </a:ln>
      </xdr:spPr>
    </xdr:pic>
    <xdr:clientData/>
  </xdr:twoCellAnchor>
  <xdr:twoCellAnchor editAs="oneCell">
    <xdr:from>
      <xdr:col>10</xdr:col>
      <xdr:colOff>0</xdr:colOff>
      <xdr:row>28</xdr:row>
      <xdr:rowOff>28575</xdr:rowOff>
    </xdr:from>
    <xdr:to>
      <xdr:col>10</xdr:col>
      <xdr:colOff>152400</xdr:colOff>
      <xdr:row>28</xdr:row>
      <xdr:rowOff>133350</xdr:rowOff>
    </xdr:to>
    <xdr:pic>
      <xdr:nvPicPr>
        <xdr:cNvPr id="25" name="CommandButton24"/>
        <xdr:cNvPicPr preferRelativeResize="1">
          <a:picLocks noChangeAspect="1"/>
        </xdr:cNvPicPr>
      </xdr:nvPicPr>
      <xdr:blipFill>
        <a:blip r:embed="rId23"/>
        <a:stretch>
          <a:fillRect/>
        </a:stretch>
      </xdr:blipFill>
      <xdr:spPr>
        <a:xfrm>
          <a:off x="3343275" y="4791075"/>
          <a:ext cx="152400" cy="104775"/>
        </a:xfrm>
        <a:prstGeom prst="rect">
          <a:avLst/>
        </a:prstGeom>
        <a:noFill/>
        <a:ln w="9525" cmpd="sng">
          <a:noFill/>
        </a:ln>
      </xdr:spPr>
    </xdr:pic>
    <xdr:clientData/>
  </xdr:twoCellAnchor>
  <xdr:twoCellAnchor editAs="oneCell">
    <xdr:from>
      <xdr:col>10</xdr:col>
      <xdr:colOff>0</xdr:colOff>
      <xdr:row>5</xdr:row>
      <xdr:rowOff>28575</xdr:rowOff>
    </xdr:from>
    <xdr:to>
      <xdr:col>10</xdr:col>
      <xdr:colOff>152400</xdr:colOff>
      <xdr:row>5</xdr:row>
      <xdr:rowOff>133350</xdr:rowOff>
    </xdr:to>
    <xdr:pic>
      <xdr:nvPicPr>
        <xdr:cNvPr id="26" name="CommandButton1"/>
        <xdr:cNvPicPr preferRelativeResize="1">
          <a:picLocks noChangeAspect="1"/>
        </xdr:cNvPicPr>
      </xdr:nvPicPr>
      <xdr:blipFill>
        <a:blip r:embed="rId24"/>
        <a:stretch>
          <a:fillRect/>
        </a:stretch>
      </xdr:blipFill>
      <xdr:spPr>
        <a:xfrm>
          <a:off x="3343275" y="1066800"/>
          <a:ext cx="152400" cy="104775"/>
        </a:xfrm>
        <a:prstGeom prst="rect">
          <a:avLst/>
        </a:prstGeom>
        <a:noFill/>
        <a:ln w="9525" cmpd="sng">
          <a:noFill/>
        </a:ln>
      </xdr:spPr>
    </xdr:pic>
    <xdr:clientData/>
  </xdr:twoCellAnchor>
  <xdr:twoCellAnchor editAs="oneCell">
    <xdr:from>
      <xdr:col>21</xdr:col>
      <xdr:colOff>9525</xdr:colOff>
      <xdr:row>5</xdr:row>
      <xdr:rowOff>28575</xdr:rowOff>
    </xdr:from>
    <xdr:to>
      <xdr:col>21</xdr:col>
      <xdr:colOff>161925</xdr:colOff>
      <xdr:row>5</xdr:row>
      <xdr:rowOff>133350</xdr:rowOff>
    </xdr:to>
    <xdr:pic>
      <xdr:nvPicPr>
        <xdr:cNvPr id="27" name="CommandButton25"/>
        <xdr:cNvPicPr preferRelativeResize="1">
          <a:picLocks noChangeAspect="1"/>
        </xdr:cNvPicPr>
      </xdr:nvPicPr>
      <xdr:blipFill>
        <a:blip r:embed="rId25"/>
        <a:stretch>
          <a:fillRect/>
        </a:stretch>
      </xdr:blipFill>
      <xdr:spPr>
        <a:xfrm>
          <a:off x="7019925" y="1066800"/>
          <a:ext cx="152400" cy="104775"/>
        </a:xfrm>
        <a:prstGeom prst="rect">
          <a:avLst/>
        </a:prstGeom>
        <a:noFill/>
        <a:ln w="9525" cmpd="sng">
          <a:noFill/>
        </a:ln>
      </xdr:spPr>
    </xdr:pic>
    <xdr:clientData/>
  </xdr:twoCellAnchor>
  <xdr:twoCellAnchor editAs="oneCell">
    <xdr:from>
      <xdr:col>21</xdr:col>
      <xdr:colOff>9525</xdr:colOff>
      <xdr:row>6</xdr:row>
      <xdr:rowOff>28575</xdr:rowOff>
    </xdr:from>
    <xdr:to>
      <xdr:col>21</xdr:col>
      <xdr:colOff>161925</xdr:colOff>
      <xdr:row>6</xdr:row>
      <xdr:rowOff>133350</xdr:rowOff>
    </xdr:to>
    <xdr:pic>
      <xdr:nvPicPr>
        <xdr:cNvPr id="28" name="CommandButton26"/>
        <xdr:cNvPicPr preferRelativeResize="1">
          <a:picLocks noChangeAspect="1"/>
        </xdr:cNvPicPr>
      </xdr:nvPicPr>
      <xdr:blipFill>
        <a:blip r:embed="rId26"/>
        <a:stretch>
          <a:fillRect/>
        </a:stretch>
      </xdr:blipFill>
      <xdr:spPr>
        <a:xfrm>
          <a:off x="7019925" y="1228725"/>
          <a:ext cx="152400" cy="104775"/>
        </a:xfrm>
        <a:prstGeom prst="rect">
          <a:avLst/>
        </a:prstGeom>
        <a:noFill/>
        <a:ln w="9525" cmpd="sng">
          <a:noFill/>
        </a:ln>
      </xdr:spPr>
    </xdr:pic>
    <xdr:clientData/>
  </xdr:twoCellAnchor>
  <xdr:twoCellAnchor editAs="oneCell">
    <xdr:from>
      <xdr:col>21</xdr:col>
      <xdr:colOff>9525</xdr:colOff>
      <xdr:row>7</xdr:row>
      <xdr:rowOff>28575</xdr:rowOff>
    </xdr:from>
    <xdr:to>
      <xdr:col>21</xdr:col>
      <xdr:colOff>161925</xdr:colOff>
      <xdr:row>7</xdr:row>
      <xdr:rowOff>133350</xdr:rowOff>
    </xdr:to>
    <xdr:pic>
      <xdr:nvPicPr>
        <xdr:cNvPr id="29" name="CommandButton27"/>
        <xdr:cNvPicPr preferRelativeResize="1">
          <a:picLocks noChangeAspect="1"/>
        </xdr:cNvPicPr>
      </xdr:nvPicPr>
      <xdr:blipFill>
        <a:blip r:embed="rId27"/>
        <a:stretch>
          <a:fillRect/>
        </a:stretch>
      </xdr:blipFill>
      <xdr:spPr>
        <a:xfrm>
          <a:off x="7019925" y="1390650"/>
          <a:ext cx="152400" cy="104775"/>
        </a:xfrm>
        <a:prstGeom prst="rect">
          <a:avLst/>
        </a:prstGeom>
        <a:noFill/>
        <a:ln w="9525" cmpd="sng">
          <a:noFill/>
        </a:ln>
      </xdr:spPr>
    </xdr:pic>
    <xdr:clientData/>
  </xdr:twoCellAnchor>
  <xdr:twoCellAnchor editAs="oneCell">
    <xdr:from>
      <xdr:col>21</xdr:col>
      <xdr:colOff>9525</xdr:colOff>
      <xdr:row>8</xdr:row>
      <xdr:rowOff>28575</xdr:rowOff>
    </xdr:from>
    <xdr:to>
      <xdr:col>21</xdr:col>
      <xdr:colOff>161925</xdr:colOff>
      <xdr:row>8</xdr:row>
      <xdr:rowOff>133350</xdr:rowOff>
    </xdr:to>
    <xdr:pic>
      <xdr:nvPicPr>
        <xdr:cNvPr id="30" name="CommandButton28"/>
        <xdr:cNvPicPr preferRelativeResize="1">
          <a:picLocks noChangeAspect="1"/>
        </xdr:cNvPicPr>
      </xdr:nvPicPr>
      <xdr:blipFill>
        <a:blip r:embed="rId28"/>
        <a:stretch>
          <a:fillRect/>
        </a:stretch>
      </xdr:blipFill>
      <xdr:spPr>
        <a:xfrm>
          <a:off x="7019925" y="1552575"/>
          <a:ext cx="152400" cy="104775"/>
        </a:xfrm>
        <a:prstGeom prst="rect">
          <a:avLst/>
        </a:prstGeom>
        <a:noFill/>
        <a:ln w="9525" cmpd="sng">
          <a:noFill/>
        </a:ln>
      </xdr:spPr>
    </xdr:pic>
    <xdr:clientData/>
  </xdr:twoCellAnchor>
  <xdr:twoCellAnchor editAs="oneCell">
    <xdr:from>
      <xdr:col>21</xdr:col>
      <xdr:colOff>9525</xdr:colOff>
      <xdr:row>9</xdr:row>
      <xdr:rowOff>28575</xdr:rowOff>
    </xdr:from>
    <xdr:to>
      <xdr:col>21</xdr:col>
      <xdr:colOff>161925</xdr:colOff>
      <xdr:row>9</xdr:row>
      <xdr:rowOff>133350</xdr:rowOff>
    </xdr:to>
    <xdr:pic>
      <xdr:nvPicPr>
        <xdr:cNvPr id="31" name="CommandButton29"/>
        <xdr:cNvPicPr preferRelativeResize="1">
          <a:picLocks noChangeAspect="1"/>
        </xdr:cNvPicPr>
      </xdr:nvPicPr>
      <xdr:blipFill>
        <a:blip r:embed="rId29"/>
        <a:stretch>
          <a:fillRect/>
        </a:stretch>
      </xdr:blipFill>
      <xdr:spPr>
        <a:xfrm>
          <a:off x="7019925" y="1714500"/>
          <a:ext cx="152400" cy="104775"/>
        </a:xfrm>
        <a:prstGeom prst="rect">
          <a:avLst/>
        </a:prstGeom>
        <a:noFill/>
        <a:ln w="9525" cmpd="sng">
          <a:noFill/>
        </a:ln>
      </xdr:spPr>
    </xdr:pic>
    <xdr:clientData/>
  </xdr:twoCellAnchor>
  <xdr:twoCellAnchor editAs="oneCell">
    <xdr:from>
      <xdr:col>21</xdr:col>
      <xdr:colOff>9525</xdr:colOff>
      <xdr:row>10</xdr:row>
      <xdr:rowOff>28575</xdr:rowOff>
    </xdr:from>
    <xdr:to>
      <xdr:col>21</xdr:col>
      <xdr:colOff>161925</xdr:colOff>
      <xdr:row>10</xdr:row>
      <xdr:rowOff>133350</xdr:rowOff>
    </xdr:to>
    <xdr:pic>
      <xdr:nvPicPr>
        <xdr:cNvPr id="32" name="CommandButton30"/>
        <xdr:cNvPicPr preferRelativeResize="1">
          <a:picLocks noChangeAspect="1"/>
        </xdr:cNvPicPr>
      </xdr:nvPicPr>
      <xdr:blipFill>
        <a:blip r:embed="rId30"/>
        <a:stretch>
          <a:fillRect/>
        </a:stretch>
      </xdr:blipFill>
      <xdr:spPr>
        <a:xfrm>
          <a:off x="7019925" y="1876425"/>
          <a:ext cx="152400" cy="104775"/>
        </a:xfrm>
        <a:prstGeom prst="rect">
          <a:avLst/>
        </a:prstGeom>
        <a:noFill/>
        <a:ln w="9525" cmpd="sng">
          <a:noFill/>
        </a:ln>
      </xdr:spPr>
    </xdr:pic>
    <xdr:clientData/>
  </xdr:twoCellAnchor>
  <xdr:twoCellAnchor editAs="oneCell">
    <xdr:from>
      <xdr:col>21</xdr:col>
      <xdr:colOff>9525</xdr:colOff>
      <xdr:row>11</xdr:row>
      <xdr:rowOff>28575</xdr:rowOff>
    </xdr:from>
    <xdr:to>
      <xdr:col>21</xdr:col>
      <xdr:colOff>161925</xdr:colOff>
      <xdr:row>11</xdr:row>
      <xdr:rowOff>133350</xdr:rowOff>
    </xdr:to>
    <xdr:pic>
      <xdr:nvPicPr>
        <xdr:cNvPr id="33" name="CommandButton31"/>
        <xdr:cNvPicPr preferRelativeResize="1">
          <a:picLocks noChangeAspect="1"/>
        </xdr:cNvPicPr>
      </xdr:nvPicPr>
      <xdr:blipFill>
        <a:blip r:embed="rId31"/>
        <a:stretch>
          <a:fillRect/>
        </a:stretch>
      </xdr:blipFill>
      <xdr:spPr>
        <a:xfrm>
          <a:off x="7019925" y="2038350"/>
          <a:ext cx="152400" cy="104775"/>
        </a:xfrm>
        <a:prstGeom prst="rect">
          <a:avLst/>
        </a:prstGeom>
        <a:noFill/>
        <a:ln w="9525" cmpd="sng">
          <a:noFill/>
        </a:ln>
      </xdr:spPr>
    </xdr:pic>
    <xdr:clientData/>
  </xdr:twoCellAnchor>
  <xdr:twoCellAnchor editAs="oneCell">
    <xdr:from>
      <xdr:col>21</xdr:col>
      <xdr:colOff>9525</xdr:colOff>
      <xdr:row>12</xdr:row>
      <xdr:rowOff>28575</xdr:rowOff>
    </xdr:from>
    <xdr:to>
      <xdr:col>21</xdr:col>
      <xdr:colOff>161925</xdr:colOff>
      <xdr:row>12</xdr:row>
      <xdr:rowOff>133350</xdr:rowOff>
    </xdr:to>
    <xdr:pic>
      <xdr:nvPicPr>
        <xdr:cNvPr id="34" name="CommandButton32"/>
        <xdr:cNvPicPr preferRelativeResize="1">
          <a:picLocks noChangeAspect="1"/>
        </xdr:cNvPicPr>
      </xdr:nvPicPr>
      <xdr:blipFill>
        <a:blip r:embed="rId32"/>
        <a:stretch>
          <a:fillRect/>
        </a:stretch>
      </xdr:blipFill>
      <xdr:spPr>
        <a:xfrm>
          <a:off x="7019925" y="2200275"/>
          <a:ext cx="152400" cy="104775"/>
        </a:xfrm>
        <a:prstGeom prst="rect">
          <a:avLst/>
        </a:prstGeom>
        <a:noFill/>
        <a:ln w="9525" cmpd="sng">
          <a:noFill/>
        </a:ln>
      </xdr:spPr>
    </xdr:pic>
    <xdr:clientData/>
  </xdr:twoCellAnchor>
  <xdr:twoCellAnchor editAs="oneCell">
    <xdr:from>
      <xdr:col>21</xdr:col>
      <xdr:colOff>9525</xdr:colOff>
      <xdr:row>13</xdr:row>
      <xdr:rowOff>28575</xdr:rowOff>
    </xdr:from>
    <xdr:to>
      <xdr:col>21</xdr:col>
      <xdr:colOff>161925</xdr:colOff>
      <xdr:row>13</xdr:row>
      <xdr:rowOff>133350</xdr:rowOff>
    </xdr:to>
    <xdr:pic>
      <xdr:nvPicPr>
        <xdr:cNvPr id="35" name="CommandButton33"/>
        <xdr:cNvPicPr preferRelativeResize="1">
          <a:picLocks noChangeAspect="1"/>
        </xdr:cNvPicPr>
      </xdr:nvPicPr>
      <xdr:blipFill>
        <a:blip r:embed="rId33"/>
        <a:stretch>
          <a:fillRect/>
        </a:stretch>
      </xdr:blipFill>
      <xdr:spPr>
        <a:xfrm>
          <a:off x="7019925" y="2362200"/>
          <a:ext cx="152400" cy="104775"/>
        </a:xfrm>
        <a:prstGeom prst="rect">
          <a:avLst/>
        </a:prstGeom>
        <a:noFill/>
        <a:ln w="9525" cmpd="sng">
          <a:noFill/>
        </a:ln>
      </xdr:spPr>
    </xdr:pic>
    <xdr:clientData/>
  </xdr:twoCellAnchor>
  <xdr:twoCellAnchor editAs="oneCell">
    <xdr:from>
      <xdr:col>21</xdr:col>
      <xdr:colOff>9525</xdr:colOff>
      <xdr:row>14</xdr:row>
      <xdr:rowOff>28575</xdr:rowOff>
    </xdr:from>
    <xdr:to>
      <xdr:col>21</xdr:col>
      <xdr:colOff>161925</xdr:colOff>
      <xdr:row>14</xdr:row>
      <xdr:rowOff>133350</xdr:rowOff>
    </xdr:to>
    <xdr:pic>
      <xdr:nvPicPr>
        <xdr:cNvPr id="36" name="CommandButton34"/>
        <xdr:cNvPicPr preferRelativeResize="1">
          <a:picLocks noChangeAspect="1"/>
        </xdr:cNvPicPr>
      </xdr:nvPicPr>
      <xdr:blipFill>
        <a:blip r:embed="rId34"/>
        <a:stretch>
          <a:fillRect/>
        </a:stretch>
      </xdr:blipFill>
      <xdr:spPr>
        <a:xfrm>
          <a:off x="7019925" y="2524125"/>
          <a:ext cx="152400" cy="104775"/>
        </a:xfrm>
        <a:prstGeom prst="rect">
          <a:avLst/>
        </a:prstGeom>
        <a:noFill/>
        <a:ln w="9525" cmpd="sng">
          <a:noFill/>
        </a:ln>
      </xdr:spPr>
    </xdr:pic>
    <xdr:clientData/>
  </xdr:twoCellAnchor>
  <xdr:twoCellAnchor editAs="oneCell">
    <xdr:from>
      <xdr:col>21</xdr:col>
      <xdr:colOff>9525</xdr:colOff>
      <xdr:row>15</xdr:row>
      <xdr:rowOff>28575</xdr:rowOff>
    </xdr:from>
    <xdr:to>
      <xdr:col>21</xdr:col>
      <xdr:colOff>161925</xdr:colOff>
      <xdr:row>15</xdr:row>
      <xdr:rowOff>133350</xdr:rowOff>
    </xdr:to>
    <xdr:pic>
      <xdr:nvPicPr>
        <xdr:cNvPr id="37" name="CommandButton35"/>
        <xdr:cNvPicPr preferRelativeResize="1">
          <a:picLocks noChangeAspect="1"/>
        </xdr:cNvPicPr>
      </xdr:nvPicPr>
      <xdr:blipFill>
        <a:blip r:embed="rId35"/>
        <a:stretch>
          <a:fillRect/>
        </a:stretch>
      </xdr:blipFill>
      <xdr:spPr>
        <a:xfrm>
          <a:off x="7019925" y="2686050"/>
          <a:ext cx="152400" cy="104775"/>
        </a:xfrm>
        <a:prstGeom prst="rect">
          <a:avLst/>
        </a:prstGeom>
        <a:noFill/>
        <a:ln w="9525" cmpd="sng">
          <a:noFill/>
        </a:ln>
      </xdr:spPr>
    </xdr:pic>
    <xdr:clientData/>
  </xdr:twoCellAnchor>
  <xdr:twoCellAnchor editAs="oneCell">
    <xdr:from>
      <xdr:col>21</xdr:col>
      <xdr:colOff>9525</xdr:colOff>
      <xdr:row>16</xdr:row>
      <xdr:rowOff>28575</xdr:rowOff>
    </xdr:from>
    <xdr:to>
      <xdr:col>21</xdr:col>
      <xdr:colOff>161925</xdr:colOff>
      <xdr:row>16</xdr:row>
      <xdr:rowOff>133350</xdr:rowOff>
    </xdr:to>
    <xdr:pic>
      <xdr:nvPicPr>
        <xdr:cNvPr id="38" name="CommandButton36"/>
        <xdr:cNvPicPr preferRelativeResize="1">
          <a:picLocks noChangeAspect="1"/>
        </xdr:cNvPicPr>
      </xdr:nvPicPr>
      <xdr:blipFill>
        <a:blip r:embed="rId36"/>
        <a:stretch>
          <a:fillRect/>
        </a:stretch>
      </xdr:blipFill>
      <xdr:spPr>
        <a:xfrm>
          <a:off x="7019925" y="2847975"/>
          <a:ext cx="152400" cy="104775"/>
        </a:xfrm>
        <a:prstGeom prst="rect">
          <a:avLst/>
        </a:prstGeom>
        <a:noFill/>
        <a:ln w="9525" cmpd="sng">
          <a:noFill/>
        </a:ln>
      </xdr:spPr>
    </xdr:pic>
    <xdr:clientData/>
  </xdr:twoCellAnchor>
  <xdr:twoCellAnchor editAs="oneCell">
    <xdr:from>
      <xdr:col>21</xdr:col>
      <xdr:colOff>9525</xdr:colOff>
      <xdr:row>17</xdr:row>
      <xdr:rowOff>28575</xdr:rowOff>
    </xdr:from>
    <xdr:to>
      <xdr:col>21</xdr:col>
      <xdr:colOff>161925</xdr:colOff>
      <xdr:row>17</xdr:row>
      <xdr:rowOff>133350</xdr:rowOff>
    </xdr:to>
    <xdr:pic>
      <xdr:nvPicPr>
        <xdr:cNvPr id="39" name="CommandButton37"/>
        <xdr:cNvPicPr preferRelativeResize="1">
          <a:picLocks noChangeAspect="1"/>
        </xdr:cNvPicPr>
      </xdr:nvPicPr>
      <xdr:blipFill>
        <a:blip r:embed="rId37"/>
        <a:stretch>
          <a:fillRect/>
        </a:stretch>
      </xdr:blipFill>
      <xdr:spPr>
        <a:xfrm>
          <a:off x="7019925" y="3009900"/>
          <a:ext cx="152400" cy="104775"/>
        </a:xfrm>
        <a:prstGeom prst="rect">
          <a:avLst/>
        </a:prstGeom>
        <a:noFill/>
        <a:ln w="9525" cmpd="sng">
          <a:noFill/>
        </a:ln>
      </xdr:spPr>
    </xdr:pic>
    <xdr:clientData/>
  </xdr:twoCellAnchor>
  <xdr:twoCellAnchor editAs="oneCell">
    <xdr:from>
      <xdr:col>21</xdr:col>
      <xdr:colOff>9525</xdr:colOff>
      <xdr:row>18</xdr:row>
      <xdr:rowOff>28575</xdr:rowOff>
    </xdr:from>
    <xdr:to>
      <xdr:col>21</xdr:col>
      <xdr:colOff>161925</xdr:colOff>
      <xdr:row>18</xdr:row>
      <xdr:rowOff>133350</xdr:rowOff>
    </xdr:to>
    <xdr:pic>
      <xdr:nvPicPr>
        <xdr:cNvPr id="40" name="CommandButton38"/>
        <xdr:cNvPicPr preferRelativeResize="1">
          <a:picLocks noChangeAspect="1"/>
        </xdr:cNvPicPr>
      </xdr:nvPicPr>
      <xdr:blipFill>
        <a:blip r:embed="rId38"/>
        <a:stretch>
          <a:fillRect/>
        </a:stretch>
      </xdr:blipFill>
      <xdr:spPr>
        <a:xfrm>
          <a:off x="7019925" y="3171825"/>
          <a:ext cx="152400" cy="104775"/>
        </a:xfrm>
        <a:prstGeom prst="rect">
          <a:avLst/>
        </a:prstGeom>
        <a:noFill/>
        <a:ln w="9525" cmpd="sng">
          <a:noFill/>
        </a:ln>
      </xdr:spPr>
    </xdr:pic>
    <xdr:clientData/>
  </xdr:twoCellAnchor>
  <xdr:twoCellAnchor editAs="oneCell">
    <xdr:from>
      <xdr:col>21</xdr:col>
      <xdr:colOff>9525</xdr:colOff>
      <xdr:row>19</xdr:row>
      <xdr:rowOff>28575</xdr:rowOff>
    </xdr:from>
    <xdr:to>
      <xdr:col>21</xdr:col>
      <xdr:colOff>161925</xdr:colOff>
      <xdr:row>19</xdr:row>
      <xdr:rowOff>133350</xdr:rowOff>
    </xdr:to>
    <xdr:pic>
      <xdr:nvPicPr>
        <xdr:cNvPr id="41" name="CommandButton39"/>
        <xdr:cNvPicPr preferRelativeResize="1">
          <a:picLocks noChangeAspect="1"/>
        </xdr:cNvPicPr>
      </xdr:nvPicPr>
      <xdr:blipFill>
        <a:blip r:embed="rId39"/>
        <a:stretch>
          <a:fillRect/>
        </a:stretch>
      </xdr:blipFill>
      <xdr:spPr>
        <a:xfrm>
          <a:off x="7019925" y="3333750"/>
          <a:ext cx="152400" cy="104775"/>
        </a:xfrm>
        <a:prstGeom prst="rect">
          <a:avLst/>
        </a:prstGeom>
        <a:noFill/>
        <a:ln w="9525" cmpd="sng">
          <a:noFill/>
        </a:ln>
      </xdr:spPr>
    </xdr:pic>
    <xdr:clientData/>
  </xdr:twoCellAnchor>
  <xdr:twoCellAnchor editAs="oneCell">
    <xdr:from>
      <xdr:col>21</xdr:col>
      <xdr:colOff>9525</xdr:colOff>
      <xdr:row>20</xdr:row>
      <xdr:rowOff>28575</xdr:rowOff>
    </xdr:from>
    <xdr:to>
      <xdr:col>21</xdr:col>
      <xdr:colOff>161925</xdr:colOff>
      <xdr:row>20</xdr:row>
      <xdr:rowOff>133350</xdr:rowOff>
    </xdr:to>
    <xdr:pic>
      <xdr:nvPicPr>
        <xdr:cNvPr id="42" name="CommandButton40"/>
        <xdr:cNvPicPr preferRelativeResize="1">
          <a:picLocks noChangeAspect="1"/>
        </xdr:cNvPicPr>
      </xdr:nvPicPr>
      <xdr:blipFill>
        <a:blip r:embed="rId40"/>
        <a:stretch>
          <a:fillRect/>
        </a:stretch>
      </xdr:blipFill>
      <xdr:spPr>
        <a:xfrm>
          <a:off x="7019925" y="3495675"/>
          <a:ext cx="152400" cy="104775"/>
        </a:xfrm>
        <a:prstGeom prst="rect">
          <a:avLst/>
        </a:prstGeom>
        <a:noFill/>
        <a:ln w="9525" cmpd="sng">
          <a:noFill/>
        </a:ln>
      </xdr:spPr>
    </xdr:pic>
    <xdr:clientData/>
  </xdr:twoCellAnchor>
  <xdr:twoCellAnchor editAs="oneCell">
    <xdr:from>
      <xdr:col>21</xdr:col>
      <xdr:colOff>9525</xdr:colOff>
      <xdr:row>21</xdr:row>
      <xdr:rowOff>28575</xdr:rowOff>
    </xdr:from>
    <xdr:to>
      <xdr:col>21</xdr:col>
      <xdr:colOff>161925</xdr:colOff>
      <xdr:row>21</xdr:row>
      <xdr:rowOff>133350</xdr:rowOff>
    </xdr:to>
    <xdr:pic>
      <xdr:nvPicPr>
        <xdr:cNvPr id="43" name="CommandButton41"/>
        <xdr:cNvPicPr preferRelativeResize="1">
          <a:picLocks noChangeAspect="1"/>
        </xdr:cNvPicPr>
      </xdr:nvPicPr>
      <xdr:blipFill>
        <a:blip r:embed="rId41"/>
        <a:stretch>
          <a:fillRect/>
        </a:stretch>
      </xdr:blipFill>
      <xdr:spPr>
        <a:xfrm>
          <a:off x="7019925" y="3657600"/>
          <a:ext cx="152400" cy="104775"/>
        </a:xfrm>
        <a:prstGeom prst="rect">
          <a:avLst/>
        </a:prstGeom>
        <a:noFill/>
        <a:ln w="9525" cmpd="sng">
          <a:noFill/>
        </a:ln>
      </xdr:spPr>
    </xdr:pic>
    <xdr:clientData/>
  </xdr:twoCellAnchor>
  <xdr:twoCellAnchor editAs="oneCell">
    <xdr:from>
      <xdr:col>21</xdr:col>
      <xdr:colOff>9525</xdr:colOff>
      <xdr:row>22</xdr:row>
      <xdr:rowOff>28575</xdr:rowOff>
    </xdr:from>
    <xdr:to>
      <xdr:col>21</xdr:col>
      <xdr:colOff>161925</xdr:colOff>
      <xdr:row>22</xdr:row>
      <xdr:rowOff>133350</xdr:rowOff>
    </xdr:to>
    <xdr:pic>
      <xdr:nvPicPr>
        <xdr:cNvPr id="44" name="CommandButton42"/>
        <xdr:cNvPicPr preferRelativeResize="1">
          <a:picLocks noChangeAspect="1"/>
        </xdr:cNvPicPr>
      </xdr:nvPicPr>
      <xdr:blipFill>
        <a:blip r:embed="rId42"/>
        <a:stretch>
          <a:fillRect/>
        </a:stretch>
      </xdr:blipFill>
      <xdr:spPr>
        <a:xfrm>
          <a:off x="7019925" y="3819525"/>
          <a:ext cx="152400" cy="104775"/>
        </a:xfrm>
        <a:prstGeom prst="rect">
          <a:avLst/>
        </a:prstGeom>
        <a:noFill/>
        <a:ln w="9525" cmpd="sng">
          <a:noFill/>
        </a:ln>
      </xdr:spPr>
    </xdr:pic>
    <xdr:clientData/>
  </xdr:twoCellAnchor>
  <xdr:twoCellAnchor editAs="oneCell">
    <xdr:from>
      <xdr:col>21</xdr:col>
      <xdr:colOff>9525</xdr:colOff>
      <xdr:row>23</xdr:row>
      <xdr:rowOff>28575</xdr:rowOff>
    </xdr:from>
    <xdr:to>
      <xdr:col>21</xdr:col>
      <xdr:colOff>161925</xdr:colOff>
      <xdr:row>23</xdr:row>
      <xdr:rowOff>133350</xdr:rowOff>
    </xdr:to>
    <xdr:pic>
      <xdr:nvPicPr>
        <xdr:cNvPr id="45" name="CommandButton43"/>
        <xdr:cNvPicPr preferRelativeResize="1">
          <a:picLocks noChangeAspect="1"/>
        </xdr:cNvPicPr>
      </xdr:nvPicPr>
      <xdr:blipFill>
        <a:blip r:embed="rId43"/>
        <a:stretch>
          <a:fillRect/>
        </a:stretch>
      </xdr:blipFill>
      <xdr:spPr>
        <a:xfrm>
          <a:off x="7019925" y="3981450"/>
          <a:ext cx="152400" cy="104775"/>
        </a:xfrm>
        <a:prstGeom prst="rect">
          <a:avLst/>
        </a:prstGeom>
        <a:noFill/>
        <a:ln w="9525" cmpd="sng">
          <a:noFill/>
        </a:ln>
      </xdr:spPr>
    </xdr:pic>
    <xdr:clientData/>
  </xdr:twoCellAnchor>
  <xdr:twoCellAnchor editAs="oneCell">
    <xdr:from>
      <xdr:col>21</xdr:col>
      <xdr:colOff>9525</xdr:colOff>
      <xdr:row>24</xdr:row>
      <xdr:rowOff>28575</xdr:rowOff>
    </xdr:from>
    <xdr:to>
      <xdr:col>21</xdr:col>
      <xdr:colOff>161925</xdr:colOff>
      <xdr:row>24</xdr:row>
      <xdr:rowOff>133350</xdr:rowOff>
    </xdr:to>
    <xdr:pic>
      <xdr:nvPicPr>
        <xdr:cNvPr id="46" name="CommandButton44"/>
        <xdr:cNvPicPr preferRelativeResize="1">
          <a:picLocks noChangeAspect="1"/>
        </xdr:cNvPicPr>
      </xdr:nvPicPr>
      <xdr:blipFill>
        <a:blip r:embed="rId44"/>
        <a:stretch>
          <a:fillRect/>
        </a:stretch>
      </xdr:blipFill>
      <xdr:spPr>
        <a:xfrm>
          <a:off x="7019925" y="4143375"/>
          <a:ext cx="152400" cy="104775"/>
        </a:xfrm>
        <a:prstGeom prst="rect">
          <a:avLst/>
        </a:prstGeom>
        <a:noFill/>
        <a:ln w="9525" cmpd="sng">
          <a:noFill/>
        </a:ln>
      </xdr:spPr>
    </xdr:pic>
    <xdr:clientData/>
  </xdr:twoCellAnchor>
  <xdr:twoCellAnchor editAs="oneCell">
    <xdr:from>
      <xdr:col>21</xdr:col>
      <xdr:colOff>9525</xdr:colOff>
      <xdr:row>25</xdr:row>
      <xdr:rowOff>28575</xdr:rowOff>
    </xdr:from>
    <xdr:to>
      <xdr:col>21</xdr:col>
      <xdr:colOff>161925</xdr:colOff>
      <xdr:row>25</xdr:row>
      <xdr:rowOff>133350</xdr:rowOff>
    </xdr:to>
    <xdr:pic>
      <xdr:nvPicPr>
        <xdr:cNvPr id="47" name="CommandButton45"/>
        <xdr:cNvPicPr preferRelativeResize="1">
          <a:picLocks noChangeAspect="1"/>
        </xdr:cNvPicPr>
      </xdr:nvPicPr>
      <xdr:blipFill>
        <a:blip r:embed="rId45"/>
        <a:stretch>
          <a:fillRect/>
        </a:stretch>
      </xdr:blipFill>
      <xdr:spPr>
        <a:xfrm>
          <a:off x="7019925" y="4305300"/>
          <a:ext cx="152400" cy="104775"/>
        </a:xfrm>
        <a:prstGeom prst="rect">
          <a:avLst/>
        </a:prstGeom>
        <a:noFill/>
        <a:ln w="9525" cmpd="sng">
          <a:noFill/>
        </a:ln>
      </xdr:spPr>
    </xdr:pic>
    <xdr:clientData/>
  </xdr:twoCellAnchor>
  <xdr:twoCellAnchor editAs="oneCell">
    <xdr:from>
      <xdr:col>21</xdr:col>
      <xdr:colOff>9525</xdr:colOff>
      <xdr:row>26</xdr:row>
      <xdr:rowOff>28575</xdr:rowOff>
    </xdr:from>
    <xdr:to>
      <xdr:col>21</xdr:col>
      <xdr:colOff>161925</xdr:colOff>
      <xdr:row>26</xdr:row>
      <xdr:rowOff>133350</xdr:rowOff>
    </xdr:to>
    <xdr:pic>
      <xdr:nvPicPr>
        <xdr:cNvPr id="48" name="CommandButton46"/>
        <xdr:cNvPicPr preferRelativeResize="1">
          <a:picLocks noChangeAspect="1"/>
        </xdr:cNvPicPr>
      </xdr:nvPicPr>
      <xdr:blipFill>
        <a:blip r:embed="rId46"/>
        <a:stretch>
          <a:fillRect/>
        </a:stretch>
      </xdr:blipFill>
      <xdr:spPr>
        <a:xfrm>
          <a:off x="7019925" y="4467225"/>
          <a:ext cx="152400" cy="104775"/>
        </a:xfrm>
        <a:prstGeom prst="rect">
          <a:avLst/>
        </a:prstGeom>
        <a:noFill/>
        <a:ln w="9525" cmpd="sng">
          <a:noFill/>
        </a:ln>
      </xdr:spPr>
    </xdr:pic>
    <xdr:clientData/>
  </xdr:twoCellAnchor>
  <xdr:twoCellAnchor editAs="oneCell">
    <xdr:from>
      <xdr:col>21</xdr:col>
      <xdr:colOff>9525</xdr:colOff>
      <xdr:row>27</xdr:row>
      <xdr:rowOff>28575</xdr:rowOff>
    </xdr:from>
    <xdr:to>
      <xdr:col>21</xdr:col>
      <xdr:colOff>161925</xdr:colOff>
      <xdr:row>27</xdr:row>
      <xdr:rowOff>133350</xdr:rowOff>
    </xdr:to>
    <xdr:pic>
      <xdr:nvPicPr>
        <xdr:cNvPr id="49" name="CommandButton47"/>
        <xdr:cNvPicPr preferRelativeResize="1">
          <a:picLocks noChangeAspect="1"/>
        </xdr:cNvPicPr>
      </xdr:nvPicPr>
      <xdr:blipFill>
        <a:blip r:embed="rId47"/>
        <a:stretch>
          <a:fillRect/>
        </a:stretch>
      </xdr:blipFill>
      <xdr:spPr>
        <a:xfrm>
          <a:off x="7019925" y="4629150"/>
          <a:ext cx="152400" cy="104775"/>
        </a:xfrm>
        <a:prstGeom prst="rect">
          <a:avLst/>
        </a:prstGeom>
        <a:noFill/>
        <a:ln w="9525" cmpd="sng">
          <a:noFill/>
        </a:ln>
      </xdr:spPr>
    </xdr:pic>
    <xdr:clientData/>
  </xdr:twoCellAnchor>
  <xdr:twoCellAnchor editAs="oneCell">
    <xdr:from>
      <xdr:col>21</xdr:col>
      <xdr:colOff>9525</xdr:colOff>
      <xdr:row>28</xdr:row>
      <xdr:rowOff>28575</xdr:rowOff>
    </xdr:from>
    <xdr:to>
      <xdr:col>21</xdr:col>
      <xdr:colOff>161925</xdr:colOff>
      <xdr:row>28</xdr:row>
      <xdr:rowOff>133350</xdr:rowOff>
    </xdr:to>
    <xdr:pic>
      <xdr:nvPicPr>
        <xdr:cNvPr id="50" name="CommandButton48"/>
        <xdr:cNvPicPr preferRelativeResize="1">
          <a:picLocks noChangeAspect="1"/>
        </xdr:cNvPicPr>
      </xdr:nvPicPr>
      <xdr:blipFill>
        <a:blip r:embed="rId48"/>
        <a:stretch>
          <a:fillRect/>
        </a:stretch>
      </xdr:blipFill>
      <xdr:spPr>
        <a:xfrm>
          <a:off x="7019925" y="4791075"/>
          <a:ext cx="152400"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0">
    <pageSetUpPr fitToPage="1"/>
  </sheetPr>
  <dimension ref="A1:X251"/>
  <sheetViews>
    <sheetView showGridLines="0" tabSelected="1" zoomScale="120" zoomScaleNormal="120" zoomScalePageLayoutView="0" workbookViewId="0" topLeftCell="A39">
      <selection activeCell="J133" sqref="J133"/>
    </sheetView>
  </sheetViews>
  <sheetFormatPr defaultColWidth="11.421875" defaultRowHeight="12.75"/>
  <cols>
    <col min="1" max="1" width="5.140625" style="0" customWidth="1"/>
    <col min="2" max="23" width="5.00390625" style="0" customWidth="1"/>
    <col min="24" max="24" width="14.8515625" style="1" customWidth="1"/>
    <col min="25" max="38" width="5.00390625" style="0" customWidth="1"/>
  </cols>
  <sheetData>
    <row r="1" spans="1:24" ht="6.75" customHeight="1">
      <c r="A1" s="2"/>
      <c r="B1" s="2"/>
      <c r="C1" s="2"/>
      <c r="D1" s="2"/>
      <c r="E1" s="2"/>
      <c r="F1" s="2"/>
      <c r="G1" s="2"/>
      <c r="H1" s="2"/>
      <c r="I1" s="2"/>
      <c r="J1" s="2"/>
      <c r="K1" s="2"/>
      <c r="L1" s="2"/>
      <c r="M1" s="2"/>
      <c r="N1" s="2"/>
      <c r="O1" s="2"/>
      <c r="P1" s="2"/>
      <c r="Q1" s="2"/>
      <c r="R1" s="2"/>
      <c r="S1" s="2"/>
      <c r="T1" s="2"/>
      <c r="U1" s="2"/>
      <c r="V1" s="2"/>
      <c r="W1" s="2"/>
      <c r="X1" s="4"/>
    </row>
    <row r="2" spans="1:24" ht="6.75" customHeight="1">
      <c r="A2" s="2"/>
      <c r="B2" s="3"/>
      <c r="C2" s="3"/>
      <c r="D2" s="3"/>
      <c r="E2" s="3"/>
      <c r="F2" s="3"/>
      <c r="G2" s="3"/>
      <c r="H2" s="3"/>
      <c r="I2" s="3"/>
      <c r="J2" s="3"/>
      <c r="K2" s="3"/>
      <c r="L2" s="3"/>
      <c r="M2" s="3"/>
      <c r="N2" s="3"/>
      <c r="O2" s="3"/>
      <c r="P2" s="3"/>
      <c r="Q2" s="3"/>
      <c r="R2" s="3"/>
      <c r="S2" s="3"/>
      <c r="T2" s="3"/>
      <c r="U2" s="3"/>
      <c r="V2" s="2"/>
      <c r="W2" s="2"/>
      <c r="X2" s="4"/>
    </row>
    <row r="3" spans="1:24" s="7" customFormat="1" ht="27.75" customHeight="1">
      <c r="A3" s="14"/>
      <c r="B3" s="28" t="s">
        <v>66</v>
      </c>
      <c r="C3" s="20"/>
      <c r="D3" s="20"/>
      <c r="E3" s="20"/>
      <c r="F3" s="20"/>
      <c r="G3" s="20"/>
      <c r="H3" s="20"/>
      <c r="I3" s="20"/>
      <c r="J3" s="20"/>
      <c r="K3" s="20"/>
      <c r="L3" s="20"/>
      <c r="M3" s="20"/>
      <c r="N3" s="20"/>
      <c r="O3" s="20"/>
      <c r="P3" s="20"/>
      <c r="Q3" s="20"/>
      <c r="R3" s="20"/>
      <c r="S3" s="20"/>
      <c r="T3" s="20"/>
      <c r="U3" s="21"/>
      <c r="V3" s="29"/>
      <c r="W3" s="14"/>
      <c r="X3" s="6"/>
    </row>
    <row r="4" spans="1:24" ht="12.75">
      <c r="A4" s="2"/>
      <c r="B4" s="27"/>
      <c r="C4" s="27"/>
      <c r="D4" s="27"/>
      <c r="E4" s="27"/>
      <c r="F4" s="27"/>
      <c r="G4" s="27"/>
      <c r="H4" s="27"/>
      <c r="I4" s="27"/>
      <c r="J4" s="27"/>
      <c r="K4" s="27"/>
      <c r="L4" s="27"/>
      <c r="M4" s="27"/>
      <c r="N4" s="27"/>
      <c r="O4" s="27"/>
      <c r="P4" s="27"/>
      <c r="Q4" s="27"/>
      <c r="R4" s="27"/>
      <c r="S4" s="27"/>
      <c r="T4" s="27"/>
      <c r="U4" s="27"/>
      <c r="V4" s="5"/>
      <c r="W4" s="2"/>
      <c r="X4" s="4"/>
    </row>
    <row r="5" spans="1:24" s="7" customFormat="1" ht="27.75" customHeight="1">
      <c r="A5" s="14"/>
      <c r="B5" s="30" t="s">
        <v>67</v>
      </c>
      <c r="C5" s="31"/>
      <c r="D5" s="31"/>
      <c r="E5" s="31"/>
      <c r="F5" s="31"/>
      <c r="G5" s="31"/>
      <c r="H5" s="31"/>
      <c r="I5" s="267" t="s">
        <v>68</v>
      </c>
      <c r="J5" s="267"/>
      <c r="K5" s="267"/>
      <c r="L5" s="29"/>
      <c r="M5" s="30" t="s">
        <v>67</v>
      </c>
      <c r="N5" s="31"/>
      <c r="O5" s="31"/>
      <c r="P5" s="31"/>
      <c r="Q5" s="31"/>
      <c r="R5" s="31"/>
      <c r="S5" s="31"/>
      <c r="T5" s="267" t="s">
        <v>68</v>
      </c>
      <c r="U5" s="267"/>
      <c r="V5" s="267"/>
      <c r="W5" s="14"/>
      <c r="X5" s="6"/>
    </row>
    <row r="6" spans="1:24" ht="12.75">
      <c r="A6" s="2"/>
      <c r="B6" s="5" t="s">
        <v>69</v>
      </c>
      <c r="C6" s="5"/>
      <c r="D6" s="5"/>
      <c r="E6" s="5"/>
      <c r="F6" s="5"/>
      <c r="G6" s="5"/>
      <c r="H6" s="5"/>
      <c r="I6" s="5"/>
      <c r="J6" s="32" t="s">
        <v>70</v>
      </c>
      <c r="K6" s="5"/>
      <c r="L6" s="5"/>
      <c r="M6" s="5" t="s">
        <v>71</v>
      </c>
      <c r="N6" s="33"/>
      <c r="O6" s="33"/>
      <c r="P6" s="33"/>
      <c r="Q6" s="33"/>
      <c r="R6" s="33"/>
      <c r="S6" s="33"/>
      <c r="T6" s="5"/>
      <c r="U6" s="32" t="s">
        <v>72</v>
      </c>
      <c r="V6" s="5"/>
      <c r="W6" s="2"/>
      <c r="X6" s="4"/>
    </row>
    <row r="7" spans="1:24" ht="12.75">
      <c r="A7" s="2"/>
      <c r="B7" s="33" t="s">
        <v>73</v>
      </c>
      <c r="C7" s="33"/>
      <c r="D7" s="33"/>
      <c r="E7" s="33"/>
      <c r="F7" s="33"/>
      <c r="G7" s="33"/>
      <c r="H7" s="33"/>
      <c r="I7" s="5"/>
      <c r="J7" s="32" t="s">
        <v>74</v>
      </c>
      <c r="K7" s="5"/>
      <c r="L7" s="5"/>
      <c r="M7" s="33" t="s">
        <v>239</v>
      </c>
      <c r="N7" s="33"/>
      <c r="O7" s="33"/>
      <c r="P7" s="33"/>
      <c r="Q7" s="33"/>
      <c r="R7" s="33"/>
      <c r="S7" s="33"/>
      <c r="T7" s="5"/>
      <c r="U7" s="32" t="s">
        <v>240</v>
      </c>
      <c r="V7" s="5"/>
      <c r="W7" s="2"/>
      <c r="X7" s="4"/>
    </row>
    <row r="8" spans="1:24" ht="12.75">
      <c r="A8" s="2"/>
      <c r="B8" s="33" t="s">
        <v>241</v>
      </c>
      <c r="C8" s="33"/>
      <c r="D8" s="33"/>
      <c r="E8" s="33"/>
      <c r="F8" s="33"/>
      <c r="G8" s="33"/>
      <c r="H8" s="33"/>
      <c r="I8" s="5"/>
      <c r="J8" s="32" t="s">
        <v>74</v>
      </c>
      <c r="K8" s="5"/>
      <c r="L8" s="5"/>
      <c r="M8" s="5" t="s">
        <v>242</v>
      </c>
      <c r="N8" s="33"/>
      <c r="O8" s="33"/>
      <c r="P8" s="33"/>
      <c r="Q8" s="33"/>
      <c r="R8" s="33"/>
      <c r="S8" s="33"/>
      <c r="T8" s="5"/>
      <c r="U8" s="32" t="s">
        <v>243</v>
      </c>
      <c r="V8" s="5"/>
      <c r="W8" s="2"/>
      <c r="X8" s="4"/>
    </row>
    <row r="9" spans="1:24" ht="12.75">
      <c r="A9" s="2"/>
      <c r="B9" s="33" t="s">
        <v>244</v>
      </c>
      <c r="C9" s="33"/>
      <c r="D9" s="33"/>
      <c r="E9" s="33"/>
      <c r="F9" s="33"/>
      <c r="G9" s="33"/>
      <c r="H9" s="33"/>
      <c r="I9" s="5"/>
      <c r="J9" s="32" t="s">
        <v>72</v>
      </c>
      <c r="K9" s="5"/>
      <c r="L9" s="5"/>
      <c r="M9" s="5" t="s">
        <v>245</v>
      </c>
      <c r="N9" s="33"/>
      <c r="O9" s="33"/>
      <c r="P9" s="33"/>
      <c r="Q9" s="33"/>
      <c r="R9" s="33"/>
      <c r="S9" s="33"/>
      <c r="T9" s="5"/>
      <c r="U9" s="32" t="s">
        <v>246</v>
      </c>
      <c r="V9" s="5"/>
      <c r="W9" s="2"/>
      <c r="X9" s="4"/>
    </row>
    <row r="10" spans="1:24" ht="12.75">
      <c r="A10" s="2"/>
      <c r="B10" s="5" t="s">
        <v>247</v>
      </c>
      <c r="C10" s="33"/>
      <c r="D10" s="33"/>
      <c r="E10" s="33"/>
      <c r="F10" s="33"/>
      <c r="G10" s="33"/>
      <c r="H10" s="33"/>
      <c r="I10" s="5"/>
      <c r="J10" s="32" t="s">
        <v>74</v>
      </c>
      <c r="K10" s="5"/>
      <c r="L10" s="5"/>
      <c r="M10" s="33" t="s">
        <v>248</v>
      </c>
      <c r="N10" s="33"/>
      <c r="O10" s="33"/>
      <c r="P10" s="33"/>
      <c r="Q10" s="33"/>
      <c r="R10" s="33"/>
      <c r="S10" s="33"/>
      <c r="T10" s="5"/>
      <c r="U10" s="32" t="s">
        <v>240</v>
      </c>
      <c r="V10" s="5"/>
      <c r="W10" s="2"/>
      <c r="X10" s="4"/>
    </row>
    <row r="11" spans="1:24" ht="12.75">
      <c r="A11" s="2"/>
      <c r="B11" s="5" t="s">
        <v>249</v>
      </c>
      <c r="C11" s="33"/>
      <c r="D11" s="33"/>
      <c r="E11" s="33"/>
      <c r="F11" s="33"/>
      <c r="G11" s="33"/>
      <c r="H11" s="33"/>
      <c r="I11" s="5"/>
      <c r="J11" s="32" t="s">
        <v>74</v>
      </c>
      <c r="K11" s="5"/>
      <c r="L11" s="5"/>
      <c r="M11" s="33" t="s">
        <v>250</v>
      </c>
      <c r="N11" s="33"/>
      <c r="O11" s="33"/>
      <c r="P11" s="33"/>
      <c r="Q11" s="33"/>
      <c r="R11" s="33"/>
      <c r="S11" s="33"/>
      <c r="T11" s="5"/>
      <c r="U11" s="32" t="s">
        <v>251</v>
      </c>
      <c r="V11" s="5"/>
      <c r="W11" s="2"/>
      <c r="X11" s="4"/>
    </row>
    <row r="12" spans="1:24" ht="12.75">
      <c r="A12" s="2"/>
      <c r="B12" s="5" t="s">
        <v>252</v>
      </c>
      <c r="C12" s="33"/>
      <c r="D12" s="33"/>
      <c r="E12" s="33"/>
      <c r="F12" s="33"/>
      <c r="G12" s="33"/>
      <c r="H12" s="33"/>
      <c r="I12" s="5"/>
      <c r="J12" s="32" t="s">
        <v>253</v>
      </c>
      <c r="K12" s="5"/>
      <c r="L12" s="5"/>
      <c r="M12" s="33" t="s">
        <v>254</v>
      </c>
      <c r="N12" s="33"/>
      <c r="O12" s="33"/>
      <c r="P12" s="33"/>
      <c r="Q12" s="33"/>
      <c r="R12" s="33"/>
      <c r="S12" s="33"/>
      <c r="T12" s="5"/>
      <c r="U12" s="32" t="s">
        <v>255</v>
      </c>
      <c r="V12" s="5"/>
      <c r="W12" s="2"/>
      <c r="X12" s="4"/>
    </row>
    <row r="13" spans="1:24" ht="12.75">
      <c r="A13" s="2"/>
      <c r="B13" s="5" t="s">
        <v>256</v>
      </c>
      <c r="C13" s="33"/>
      <c r="D13" s="33"/>
      <c r="E13" s="33"/>
      <c r="F13" s="33"/>
      <c r="G13" s="33"/>
      <c r="H13" s="33"/>
      <c r="I13" s="5"/>
      <c r="J13" s="32" t="s">
        <v>257</v>
      </c>
      <c r="K13" s="5"/>
      <c r="L13" s="5"/>
      <c r="M13" s="33" t="s">
        <v>258</v>
      </c>
      <c r="N13" s="33"/>
      <c r="O13" s="33"/>
      <c r="P13" s="33"/>
      <c r="Q13" s="33"/>
      <c r="R13" s="33"/>
      <c r="S13" s="33"/>
      <c r="T13" s="5"/>
      <c r="U13" s="32" t="s">
        <v>240</v>
      </c>
      <c r="V13" s="5"/>
      <c r="W13" s="2"/>
      <c r="X13" s="4"/>
    </row>
    <row r="14" spans="1:24" ht="12.75">
      <c r="A14" s="2"/>
      <c r="B14" s="5" t="s">
        <v>25</v>
      </c>
      <c r="C14" s="33"/>
      <c r="D14" s="33"/>
      <c r="E14" s="33"/>
      <c r="F14" s="33"/>
      <c r="G14" s="33"/>
      <c r="H14" s="33"/>
      <c r="I14" s="5"/>
      <c r="J14" s="32" t="s">
        <v>240</v>
      </c>
      <c r="K14" s="5"/>
      <c r="L14" s="5"/>
      <c r="M14" s="33" t="s">
        <v>26</v>
      </c>
      <c r="N14" s="33"/>
      <c r="O14" s="33"/>
      <c r="P14" s="33"/>
      <c r="Q14" s="33"/>
      <c r="R14" s="33"/>
      <c r="S14" s="33"/>
      <c r="T14" s="5"/>
      <c r="U14" s="32" t="s">
        <v>72</v>
      </c>
      <c r="V14" s="5"/>
      <c r="W14" s="2"/>
      <c r="X14" s="4"/>
    </row>
    <row r="15" spans="1:24" ht="12.75">
      <c r="A15" s="2"/>
      <c r="B15" s="33" t="s">
        <v>27</v>
      </c>
      <c r="C15" s="33"/>
      <c r="D15" s="33"/>
      <c r="E15" s="33"/>
      <c r="F15" s="33"/>
      <c r="G15" s="33"/>
      <c r="H15" s="33"/>
      <c r="I15" s="5"/>
      <c r="J15" s="32" t="s">
        <v>74</v>
      </c>
      <c r="K15" s="5"/>
      <c r="L15" s="5"/>
      <c r="M15" s="33" t="s">
        <v>28</v>
      </c>
      <c r="N15" s="33"/>
      <c r="O15" s="33"/>
      <c r="P15" s="33"/>
      <c r="Q15" s="33"/>
      <c r="R15" s="33"/>
      <c r="S15" s="33"/>
      <c r="T15" s="5"/>
      <c r="U15" s="32" t="s">
        <v>29</v>
      </c>
      <c r="V15" s="5"/>
      <c r="W15" s="2"/>
      <c r="X15" s="4"/>
    </row>
    <row r="16" spans="1:24" ht="12.75">
      <c r="A16" s="2"/>
      <c r="B16" s="33" t="s">
        <v>6</v>
      </c>
      <c r="C16" s="33"/>
      <c r="D16" s="33"/>
      <c r="E16" s="33"/>
      <c r="F16" s="33"/>
      <c r="G16" s="33"/>
      <c r="H16" s="33"/>
      <c r="I16" s="5"/>
      <c r="J16" s="32" t="s">
        <v>72</v>
      </c>
      <c r="K16" s="5"/>
      <c r="L16" s="5"/>
      <c r="M16" s="33" t="s">
        <v>7</v>
      </c>
      <c r="N16" s="33"/>
      <c r="O16" s="33"/>
      <c r="P16" s="33"/>
      <c r="Q16" s="33"/>
      <c r="R16" s="33"/>
      <c r="S16" s="33"/>
      <c r="T16" s="5"/>
      <c r="U16" s="32" t="s">
        <v>8</v>
      </c>
      <c r="V16" s="5"/>
      <c r="W16" s="2"/>
      <c r="X16" s="4"/>
    </row>
    <row r="17" spans="1:24" ht="12.75">
      <c r="A17" s="2"/>
      <c r="B17" s="33" t="s">
        <v>9</v>
      </c>
      <c r="C17" s="33"/>
      <c r="D17" s="33"/>
      <c r="E17" s="33"/>
      <c r="F17" s="33"/>
      <c r="G17" s="33"/>
      <c r="H17" s="33"/>
      <c r="I17" s="5"/>
      <c r="J17" s="32" t="s">
        <v>72</v>
      </c>
      <c r="K17" s="5"/>
      <c r="L17" s="5"/>
      <c r="M17" s="33" t="s">
        <v>10</v>
      </c>
      <c r="N17" s="33"/>
      <c r="O17" s="33"/>
      <c r="P17" s="33"/>
      <c r="Q17" s="33"/>
      <c r="R17" s="33"/>
      <c r="S17" s="33"/>
      <c r="T17" s="5"/>
      <c r="U17" s="32" t="s">
        <v>72</v>
      </c>
      <c r="V17" s="5"/>
      <c r="W17" s="2"/>
      <c r="X17" s="4"/>
    </row>
    <row r="18" spans="1:24" ht="12.75">
      <c r="A18" s="2"/>
      <c r="B18" s="33" t="s">
        <v>11</v>
      </c>
      <c r="C18" s="33"/>
      <c r="D18" s="33"/>
      <c r="E18" s="33"/>
      <c r="F18" s="33"/>
      <c r="G18" s="33"/>
      <c r="H18" s="33"/>
      <c r="I18" s="5"/>
      <c r="J18" s="32" t="s">
        <v>12</v>
      </c>
      <c r="K18" s="5"/>
      <c r="L18" s="5"/>
      <c r="M18" s="33" t="s">
        <v>13</v>
      </c>
      <c r="N18" s="33"/>
      <c r="O18" s="33"/>
      <c r="P18" s="33"/>
      <c r="Q18" s="33"/>
      <c r="R18" s="33"/>
      <c r="S18" s="33"/>
      <c r="T18" s="5"/>
      <c r="U18" s="32" t="s">
        <v>72</v>
      </c>
      <c r="V18" s="5"/>
      <c r="W18" s="2"/>
      <c r="X18" s="4"/>
    </row>
    <row r="19" spans="1:24" ht="12.75">
      <c r="A19" s="2"/>
      <c r="B19" s="33" t="s">
        <v>14</v>
      </c>
      <c r="C19" s="33"/>
      <c r="D19" s="33"/>
      <c r="E19" s="33"/>
      <c r="F19" s="33"/>
      <c r="G19" s="33"/>
      <c r="H19" s="33"/>
      <c r="I19" s="5"/>
      <c r="J19" s="32" t="s">
        <v>243</v>
      </c>
      <c r="K19" s="5"/>
      <c r="L19" s="5"/>
      <c r="M19" s="33" t="s">
        <v>15</v>
      </c>
      <c r="N19" s="33"/>
      <c r="O19" s="33"/>
      <c r="P19" s="33"/>
      <c r="Q19" s="33"/>
      <c r="R19" s="33"/>
      <c r="S19" s="33"/>
      <c r="T19" s="5"/>
      <c r="U19" s="32" t="s">
        <v>74</v>
      </c>
      <c r="V19" s="5"/>
      <c r="W19" s="2"/>
      <c r="X19" s="4"/>
    </row>
    <row r="20" spans="1:24" ht="12.75">
      <c r="A20" s="2"/>
      <c r="B20" s="33" t="s">
        <v>16</v>
      </c>
      <c r="C20" s="33"/>
      <c r="D20" s="33"/>
      <c r="E20" s="33"/>
      <c r="F20" s="33"/>
      <c r="G20" s="33"/>
      <c r="H20" s="33"/>
      <c r="I20" s="5"/>
      <c r="J20" s="32" t="s">
        <v>243</v>
      </c>
      <c r="K20" s="5"/>
      <c r="L20" s="5"/>
      <c r="M20" s="33" t="s">
        <v>17</v>
      </c>
      <c r="N20" s="33"/>
      <c r="O20" s="33"/>
      <c r="P20" s="33"/>
      <c r="Q20" s="33"/>
      <c r="R20" s="33"/>
      <c r="S20" s="33"/>
      <c r="T20" s="5"/>
      <c r="U20" s="32" t="s">
        <v>243</v>
      </c>
      <c r="V20" s="5"/>
      <c r="W20" s="2"/>
      <c r="X20" s="4"/>
    </row>
    <row r="21" spans="1:24" ht="12.75">
      <c r="A21" s="2"/>
      <c r="B21" s="33" t="s">
        <v>18</v>
      </c>
      <c r="C21" s="33"/>
      <c r="D21" s="33"/>
      <c r="E21" s="33"/>
      <c r="F21" s="33"/>
      <c r="G21" s="33"/>
      <c r="H21" s="33"/>
      <c r="I21" s="5"/>
      <c r="J21" s="32" t="s">
        <v>19</v>
      </c>
      <c r="K21" s="5"/>
      <c r="L21" s="5"/>
      <c r="M21" s="33" t="s">
        <v>20</v>
      </c>
      <c r="N21" s="33"/>
      <c r="O21" s="33"/>
      <c r="P21" s="33"/>
      <c r="Q21" s="33"/>
      <c r="R21" s="33"/>
      <c r="S21" s="33"/>
      <c r="T21" s="5"/>
      <c r="U21" s="32" t="s">
        <v>29</v>
      </c>
      <c r="V21" s="5"/>
      <c r="W21" s="2"/>
      <c r="X21" s="4"/>
    </row>
    <row r="22" spans="1:24" ht="12.75">
      <c r="A22" s="2"/>
      <c r="B22" s="33" t="s">
        <v>21</v>
      </c>
      <c r="C22" s="33"/>
      <c r="D22" s="33"/>
      <c r="E22" s="33"/>
      <c r="F22" s="33"/>
      <c r="G22" s="33"/>
      <c r="H22" s="33"/>
      <c r="I22" s="5"/>
      <c r="J22" s="32" t="s">
        <v>74</v>
      </c>
      <c r="K22" s="5"/>
      <c r="L22" s="5"/>
      <c r="M22" s="33" t="s">
        <v>22</v>
      </c>
      <c r="N22" s="33"/>
      <c r="O22" s="33"/>
      <c r="P22" s="33"/>
      <c r="Q22" s="33"/>
      <c r="R22" s="33"/>
      <c r="S22" s="33"/>
      <c r="T22" s="5"/>
      <c r="U22" s="32" t="s">
        <v>23</v>
      </c>
      <c r="V22" s="5"/>
      <c r="W22" s="2"/>
      <c r="X22" s="4"/>
    </row>
    <row r="23" spans="1:24" ht="12.75">
      <c r="A23" s="2"/>
      <c r="B23" s="5" t="s">
        <v>24</v>
      </c>
      <c r="C23" s="33"/>
      <c r="D23" s="33"/>
      <c r="E23" s="33"/>
      <c r="F23" s="33"/>
      <c r="G23" s="33"/>
      <c r="H23" s="33"/>
      <c r="I23" s="5"/>
      <c r="J23" s="32" t="s">
        <v>243</v>
      </c>
      <c r="K23" s="5"/>
      <c r="L23" s="5"/>
      <c r="M23" s="33" t="s">
        <v>87</v>
      </c>
      <c r="N23" s="33"/>
      <c r="O23" s="33"/>
      <c r="P23" s="33"/>
      <c r="Q23" s="33"/>
      <c r="R23" s="33"/>
      <c r="S23" s="33"/>
      <c r="T23" s="5"/>
      <c r="U23" s="32" t="s">
        <v>70</v>
      </c>
      <c r="V23" s="5"/>
      <c r="W23" s="2"/>
      <c r="X23" s="4"/>
    </row>
    <row r="24" spans="1:24" ht="12.75">
      <c r="A24" s="2"/>
      <c r="B24" s="5" t="s">
        <v>88</v>
      </c>
      <c r="C24" s="33"/>
      <c r="D24" s="33"/>
      <c r="E24" s="33"/>
      <c r="F24" s="33"/>
      <c r="G24" s="33"/>
      <c r="H24" s="33"/>
      <c r="I24" s="5"/>
      <c r="J24" s="32" t="s">
        <v>23</v>
      </c>
      <c r="K24" s="5"/>
      <c r="L24" s="5"/>
      <c r="M24" s="33" t="s">
        <v>89</v>
      </c>
      <c r="N24" s="33"/>
      <c r="O24" s="33"/>
      <c r="P24" s="33"/>
      <c r="Q24" s="33"/>
      <c r="R24" s="33"/>
      <c r="S24" s="33"/>
      <c r="T24" s="5"/>
      <c r="U24" s="32" t="s">
        <v>74</v>
      </c>
      <c r="V24" s="5"/>
      <c r="W24" s="2"/>
      <c r="X24" s="4"/>
    </row>
    <row r="25" spans="1:24" ht="12.75">
      <c r="A25" s="2"/>
      <c r="B25" s="33" t="s">
        <v>59</v>
      </c>
      <c r="C25" s="33"/>
      <c r="D25" s="33"/>
      <c r="E25" s="33"/>
      <c r="F25" s="33"/>
      <c r="G25" s="33"/>
      <c r="H25" s="33"/>
      <c r="I25" s="5"/>
      <c r="J25" s="32" t="s">
        <v>74</v>
      </c>
      <c r="K25" s="5"/>
      <c r="L25" s="5"/>
      <c r="M25" s="33" t="s">
        <v>60</v>
      </c>
      <c r="N25" s="33"/>
      <c r="O25" s="33"/>
      <c r="P25" s="33"/>
      <c r="Q25" s="33"/>
      <c r="R25" s="33"/>
      <c r="S25" s="33"/>
      <c r="T25" s="33"/>
      <c r="U25" s="32" t="s">
        <v>61</v>
      </c>
      <c r="V25" s="5"/>
      <c r="W25" s="2"/>
      <c r="X25" s="4"/>
    </row>
    <row r="26" spans="1:24" ht="12.75">
      <c r="A26" s="2"/>
      <c r="B26" s="33" t="s">
        <v>62</v>
      </c>
      <c r="C26" s="33"/>
      <c r="D26" s="33"/>
      <c r="E26" s="33"/>
      <c r="F26" s="33"/>
      <c r="G26" s="33"/>
      <c r="H26" s="33"/>
      <c r="I26" s="5"/>
      <c r="J26" s="32" t="s">
        <v>19</v>
      </c>
      <c r="K26" s="5"/>
      <c r="L26" s="5"/>
      <c r="M26" s="33" t="s">
        <v>63</v>
      </c>
      <c r="N26" s="33"/>
      <c r="O26" s="33"/>
      <c r="P26" s="33"/>
      <c r="Q26" s="33"/>
      <c r="R26" s="33"/>
      <c r="S26" s="33"/>
      <c r="T26" s="33"/>
      <c r="U26" s="32" t="s">
        <v>61</v>
      </c>
      <c r="V26" s="5"/>
      <c r="W26" s="2"/>
      <c r="X26" s="4"/>
    </row>
    <row r="27" spans="1:24" ht="12.75">
      <c r="A27" s="2"/>
      <c r="B27" s="33" t="s">
        <v>64</v>
      </c>
      <c r="C27" s="33"/>
      <c r="D27" s="33"/>
      <c r="E27" s="33"/>
      <c r="F27" s="33"/>
      <c r="G27" s="33"/>
      <c r="H27" s="33"/>
      <c r="I27" s="5"/>
      <c r="J27" s="32" t="s">
        <v>65</v>
      </c>
      <c r="K27" s="5"/>
      <c r="L27" s="5"/>
      <c r="M27" s="33" t="s">
        <v>162</v>
      </c>
      <c r="N27" s="33"/>
      <c r="O27" s="33"/>
      <c r="P27" s="33"/>
      <c r="Q27" s="33"/>
      <c r="R27" s="33"/>
      <c r="S27" s="33"/>
      <c r="T27" s="33"/>
      <c r="U27" s="32" t="s">
        <v>61</v>
      </c>
      <c r="V27" s="5"/>
      <c r="W27" s="2"/>
      <c r="X27" s="4"/>
    </row>
    <row r="28" spans="1:24" ht="12.75">
      <c r="A28" s="2"/>
      <c r="B28" s="33" t="s">
        <v>163</v>
      </c>
      <c r="C28" s="33"/>
      <c r="D28" s="33"/>
      <c r="E28" s="33"/>
      <c r="F28" s="33"/>
      <c r="G28" s="33"/>
      <c r="H28" s="33"/>
      <c r="I28" s="5"/>
      <c r="J28" s="32" t="s">
        <v>29</v>
      </c>
      <c r="K28" s="5"/>
      <c r="L28" s="5"/>
      <c r="M28" s="33" t="s">
        <v>164</v>
      </c>
      <c r="N28" s="33"/>
      <c r="O28" s="33"/>
      <c r="P28" s="33"/>
      <c r="Q28" s="33"/>
      <c r="R28" s="33"/>
      <c r="S28" s="33"/>
      <c r="T28" s="33"/>
      <c r="U28" s="32" t="s">
        <v>165</v>
      </c>
      <c r="V28" s="5"/>
      <c r="W28" s="2"/>
      <c r="X28" s="4"/>
    </row>
    <row r="29" spans="1:24" ht="12.75">
      <c r="A29" s="2"/>
      <c r="B29" s="33" t="s">
        <v>166</v>
      </c>
      <c r="C29" s="33"/>
      <c r="D29" s="33"/>
      <c r="E29" s="33"/>
      <c r="F29" s="33"/>
      <c r="G29" s="33"/>
      <c r="H29" s="33"/>
      <c r="I29" s="5"/>
      <c r="J29" s="32" t="s">
        <v>74</v>
      </c>
      <c r="K29" s="5"/>
      <c r="L29" s="5"/>
      <c r="M29" s="33" t="s">
        <v>167</v>
      </c>
      <c r="N29" s="33"/>
      <c r="O29" s="33"/>
      <c r="P29" s="33"/>
      <c r="Q29" s="33"/>
      <c r="R29" s="33"/>
      <c r="S29" s="33"/>
      <c r="T29" s="33"/>
      <c r="U29" s="33" t="s">
        <v>168</v>
      </c>
      <c r="V29" s="5"/>
      <c r="W29" s="2"/>
      <c r="X29" s="4"/>
    </row>
    <row r="30" spans="1:24" ht="12.75">
      <c r="A30" s="2"/>
      <c r="B30" s="33"/>
      <c r="C30" s="33"/>
      <c r="D30" s="33"/>
      <c r="E30" s="33"/>
      <c r="F30" s="33"/>
      <c r="G30" s="33"/>
      <c r="H30" s="33"/>
      <c r="I30" s="5"/>
      <c r="J30" s="32"/>
      <c r="K30" s="5"/>
      <c r="L30" s="5"/>
      <c r="M30" s="33"/>
      <c r="N30" s="33"/>
      <c r="O30" s="33"/>
      <c r="P30" s="33"/>
      <c r="Q30" s="33"/>
      <c r="R30" s="33"/>
      <c r="S30" s="33"/>
      <c r="T30" s="33"/>
      <c r="U30" s="33"/>
      <c r="V30" s="5"/>
      <c r="W30" s="2"/>
      <c r="X30" s="4"/>
    </row>
    <row r="31" spans="1:24" ht="12.75">
      <c r="A31" s="2"/>
      <c r="B31" s="33"/>
      <c r="C31" s="33"/>
      <c r="D31" s="33"/>
      <c r="E31" s="33"/>
      <c r="F31" s="33"/>
      <c r="G31" s="33"/>
      <c r="H31" s="33"/>
      <c r="I31" s="5"/>
      <c r="J31" s="32"/>
      <c r="K31" s="5"/>
      <c r="L31" s="5"/>
      <c r="M31" s="33"/>
      <c r="N31" s="33"/>
      <c r="O31" s="33"/>
      <c r="P31" s="33"/>
      <c r="Q31" s="33"/>
      <c r="R31" s="33"/>
      <c r="S31" s="33"/>
      <c r="T31" s="33"/>
      <c r="U31" s="33"/>
      <c r="V31" s="5"/>
      <c r="W31" s="2"/>
      <c r="X31" s="4"/>
    </row>
    <row r="32" spans="1:24" ht="12.75">
      <c r="A32" s="2"/>
      <c r="B32" s="5"/>
      <c r="C32" s="5"/>
      <c r="D32" s="5"/>
      <c r="E32" s="5"/>
      <c r="F32" s="5"/>
      <c r="G32" s="5"/>
      <c r="H32" s="5"/>
      <c r="I32" s="5"/>
      <c r="J32" s="5"/>
      <c r="K32" s="5"/>
      <c r="L32" s="5"/>
      <c r="M32" s="5"/>
      <c r="N32" s="5"/>
      <c r="O32" s="5"/>
      <c r="P32" s="5"/>
      <c r="Q32" s="5"/>
      <c r="R32" s="5"/>
      <c r="S32" s="5"/>
      <c r="T32" s="5"/>
      <c r="U32" s="5"/>
      <c r="V32" s="5"/>
      <c r="W32" s="2"/>
      <c r="X32" s="4"/>
    </row>
    <row r="33" spans="1:24" ht="12.75">
      <c r="A33" s="2"/>
      <c r="B33" s="5" t="s">
        <v>169</v>
      </c>
      <c r="C33" s="5"/>
      <c r="D33" s="5"/>
      <c r="E33" s="5"/>
      <c r="F33" s="5"/>
      <c r="G33" s="5"/>
      <c r="H33" s="5"/>
      <c r="I33" s="5"/>
      <c r="J33" s="5"/>
      <c r="K33" s="5"/>
      <c r="L33" s="5"/>
      <c r="M33" s="5"/>
      <c r="N33" s="5"/>
      <c r="O33" s="5"/>
      <c r="P33" s="5"/>
      <c r="Q33" s="5"/>
      <c r="R33" s="5"/>
      <c r="S33" s="5"/>
      <c r="T33" s="5"/>
      <c r="U33" s="5"/>
      <c r="V33" s="5"/>
      <c r="W33" s="2"/>
      <c r="X33" s="4"/>
    </row>
    <row r="34" spans="1:24" ht="12.75">
      <c r="A34" s="2"/>
      <c r="B34" s="5"/>
      <c r="C34" s="5"/>
      <c r="D34" s="5"/>
      <c r="E34" s="5"/>
      <c r="F34" s="5"/>
      <c r="G34" s="5"/>
      <c r="H34" s="5"/>
      <c r="I34" s="5"/>
      <c r="J34" s="5"/>
      <c r="K34" s="5"/>
      <c r="L34" s="5"/>
      <c r="M34" s="5"/>
      <c r="N34" s="5"/>
      <c r="O34" s="5"/>
      <c r="P34" s="5"/>
      <c r="Q34" s="34"/>
      <c r="R34" s="34"/>
      <c r="S34" s="5"/>
      <c r="T34" s="5"/>
      <c r="U34" s="5"/>
      <c r="V34" s="5"/>
      <c r="W34" s="2"/>
      <c r="X34" s="4"/>
    </row>
    <row r="35" spans="1:24" ht="12.75">
      <c r="A35" s="2"/>
      <c r="B35" s="173" t="s">
        <v>170</v>
      </c>
      <c r="C35" s="173"/>
      <c r="D35" s="173"/>
      <c r="E35" s="173"/>
      <c r="F35" s="268">
        <v>1</v>
      </c>
      <c r="G35" s="268"/>
      <c r="H35" s="269">
        <f>1+(H36/(258.6-((H36/258.2)*227.1)))</f>
        <v>1.003880173276336</v>
      </c>
      <c r="I35" s="269"/>
      <c r="J35" s="2"/>
      <c r="K35" s="173" t="s">
        <v>171</v>
      </c>
      <c r="L35" s="173"/>
      <c r="M35" s="173"/>
      <c r="N35" s="173"/>
      <c r="O35" s="270">
        <v>1</v>
      </c>
      <c r="P35" s="270"/>
      <c r="Q35" s="271">
        <f>261.1/(261.56-Q36)</f>
        <v>1.0020724593183912</v>
      </c>
      <c r="R35" s="271"/>
      <c r="S35" s="2"/>
      <c r="T35" s="2"/>
      <c r="U35" s="2"/>
      <c r="V35" s="2"/>
      <c r="W35" s="2"/>
      <c r="X35" s="4"/>
    </row>
    <row r="36" spans="1:24" ht="12.75">
      <c r="A36" s="2"/>
      <c r="B36" s="266" t="s">
        <v>172</v>
      </c>
      <c r="C36" s="266"/>
      <c r="D36" s="266"/>
      <c r="E36" s="266"/>
      <c r="F36" s="116">
        <f>-676.67+1286.4*(F35)-800.47*(F35)^2+190.74*(F35)^3</f>
        <v>0</v>
      </c>
      <c r="G36" s="116"/>
      <c r="H36" s="200">
        <v>1</v>
      </c>
      <c r="I36" s="200"/>
      <c r="J36" s="2"/>
      <c r="K36" s="266" t="s">
        <v>172</v>
      </c>
      <c r="L36" s="266"/>
      <c r="M36" s="266"/>
      <c r="N36" s="266"/>
      <c r="O36" s="116">
        <f>261.56-(261.1/O35)</f>
        <v>0.45999999999997954</v>
      </c>
      <c r="P36" s="116"/>
      <c r="Q36" s="200">
        <v>1</v>
      </c>
      <c r="R36" s="200"/>
      <c r="S36" s="2"/>
      <c r="T36" s="2"/>
      <c r="U36" s="2"/>
      <c r="V36" s="2"/>
      <c r="W36" s="2"/>
      <c r="X36" s="4"/>
    </row>
    <row r="37" spans="1:24" ht="12.75">
      <c r="A37" s="2"/>
      <c r="B37" s="5"/>
      <c r="C37" s="5"/>
      <c r="D37" s="5"/>
      <c r="E37" s="5"/>
      <c r="F37" s="5"/>
      <c r="G37" s="5"/>
      <c r="H37" s="5"/>
      <c r="I37" s="5"/>
      <c r="J37" s="5"/>
      <c r="K37" s="5"/>
      <c r="L37" s="5"/>
      <c r="M37" s="5"/>
      <c r="N37" s="5"/>
      <c r="O37" s="5"/>
      <c r="P37" s="5"/>
      <c r="Q37" s="5"/>
      <c r="R37" s="5"/>
      <c r="S37" s="5"/>
      <c r="T37" s="5"/>
      <c r="U37" s="5"/>
      <c r="V37" s="5"/>
      <c r="W37" s="5"/>
      <c r="X37" s="4"/>
    </row>
    <row r="38" spans="1:24" ht="12.75">
      <c r="A38" s="2"/>
      <c r="B38" s="5"/>
      <c r="C38" s="5"/>
      <c r="D38" s="5"/>
      <c r="E38" s="5"/>
      <c r="F38" s="5"/>
      <c r="G38" s="5"/>
      <c r="H38" s="5"/>
      <c r="I38" s="5"/>
      <c r="J38" s="5"/>
      <c r="K38" s="5"/>
      <c r="L38" s="5"/>
      <c r="M38" s="5"/>
      <c r="N38" s="5"/>
      <c r="O38" s="5"/>
      <c r="P38" s="5"/>
      <c r="Q38" s="5"/>
      <c r="R38" s="5"/>
      <c r="S38" s="5"/>
      <c r="T38" s="5"/>
      <c r="U38" s="5"/>
      <c r="V38" s="5"/>
      <c r="W38" s="5"/>
      <c r="X38" s="4"/>
    </row>
    <row r="39" spans="1:24" ht="12.75">
      <c r="A39" s="2"/>
      <c r="B39" s="5"/>
      <c r="C39" s="5"/>
      <c r="D39" s="5"/>
      <c r="E39" s="5"/>
      <c r="F39" s="5"/>
      <c r="G39" s="5"/>
      <c r="H39" s="5"/>
      <c r="I39" s="5"/>
      <c r="J39" s="5"/>
      <c r="K39" s="5"/>
      <c r="L39" s="5"/>
      <c r="M39" s="5"/>
      <c r="N39" s="5"/>
      <c r="O39" s="5"/>
      <c r="P39" s="5"/>
      <c r="Q39" s="5"/>
      <c r="R39" s="5"/>
      <c r="S39" s="5"/>
      <c r="T39" s="5"/>
      <c r="U39" s="5"/>
      <c r="V39" s="5"/>
      <c r="W39" s="5"/>
      <c r="X39" s="4"/>
    </row>
    <row r="40" spans="1:24" ht="12.75">
      <c r="A40" s="17"/>
      <c r="B40" s="5" t="s">
        <v>173</v>
      </c>
      <c r="C40" s="5"/>
      <c r="D40" s="5"/>
      <c r="E40" s="5"/>
      <c r="F40" s="5"/>
      <c r="G40" s="5"/>
      <c r="H40" s="5"/>
      <c r="I40" s="5"/>
      <c r="J40" s="5"/>
      <c r="K40" s="5"/>
      <c r="L40" s="5"/>
      <c r="M40" s="5"/>
      <c r="N40" s="5"/>
      <c r="O40" s="5"/>
      <c r="P40" s="5"/>
      <c r="Q40" s="5"/>
      <c r="R40" s="5"/>
      <c r="S40" s="5"/>
      <c r="T40" s="5"/>
      <c r="U40" s="5"/>
      <c r="V40" s="5"/>
      <c r="W40" s="5"/>
      <c r="X40" s="4"/>
    </row>
    <row r="41" spans="1:24" ht="12.75">
      <c r="A41" s="17"/>
      <c r="B41" s="5"/>
      <c r="C41" s="5"/>
      <c r="D41" s="5"/>
      <c r="E41" s="5"/>
      <c r="F41" s="5"/>
      <c r="G41" s="5"/>
      <c r="H41" s="5"/>
      <c r="I41" s="5"/>
      <c r="J41" s="5"/>
      <c r="K41" s="5"/>
      <c r="L41" s="5"/>
      <c r="M41" s="5"/>
      <c r="N41" s="5"/>
      <c r="O41" s="5"/>
      <c r="P41" s="5"/>
      <c r="Q41" s="5"/>
      <c r="R41" s="5"/>
      <c r="S41" s="5"/>
      <c r="T41" s="5"/>
      <c r="U41" s="5"/>
      <c r="V41" s="5"/>
      <c r="W41" s="5"/>
      <c r="X41" s="4"/>
    </row>
    <row r="42" spans="1:24" ht="12.75">
      <c r="A42" s="17"/>
      <c r="B42" s="262" t="s">
        <v>228</v>
      </c>
      <c r="C42" s="262"/>
      <c r="D42" s="262"/>
      <c r="E42" s="262"/>
      <c r="F42" s="262"/>
      <c r="G42" s="262"/>
      <c r="H42" s="200">
        <v>0</v>
      </c>
      <c r="I42" s="200"/>
      <c r="J42" s="264"/>
      <c r="K42" s="264"/>
      <c r="L42" s="264"/>
      <c r="M42" s="264"/>
      <c r="N42" s="264"/>
      <c r="O42" s="264"/>
      <c r="P42" s="264"/>
      <c r="Q42" s="264"/>
      <c r="R42" s="264"/>
      <c r="S42" s="264"/>
      <c r="T42" s="3"/>
      <c r="U42" s="2"/>
      <c r="V42" s="2"/>
      <c r="W42" s="2"/>
      <c r="X42" s="4"/>
    </row>
    <row r="43" spans="1:24" ht="12.75">
      <c r="A43" s="17"/>
      <c r="B43" s="262" t="s">
        <v>229</v>
      </c>
      <c r="C43" s="262"/>
      <c r="D43" s="262"/>
      <c r="E43" s="262"/>
      <c r="F43" s="262"/>
      <c r="G43" s="262"/>
      <c r="H43" s="200">
        <v>0</v>
      </c>
      <c r="I43" s="200"/>
      <c r="J43" s="263" t="s">
        <v>174</v>
      </c>
      <c r="K43" s="263"/>
      <c r="L43" s="263"/>
      <c r="M43" s="263"/>
      <c r="N43" s="263"/>
      <c r="O43" s="263"/>
      <c r="P43" s="263"/>
      <c r="Q43" s="263"/>
      <c r="R43" s="256" t="str">
        <f>IF(H42*H43&lt;&gt;0,(H42-H43)*100/H42,"-")</f>
        <v>-</v>
      </c>
      <c r="S43" s="256"/>
      <c r="T43" s="3"/>
      <c r="U43" s="2"/>
      <c r="V43" s="2"/>
      <c r="W43" s="2"/>
      <c r="X43" s="4"/>
    </row>
    <row r="44" spans="1:24" ht="12.75">
      <c r="A44" s="17"/>
      <c r="B44" s="262" t="s">
        <v>230</v>
      </c>
      <c r="C44" s="262"/>
      <c r="D44" s="262"/>
      <c r="E44" s="262"/>
      <c r="F44" s="262"/>
      <c r="G44" s="262"/>
      <c r="H44" s="200">
        <v>0</v>
      </c>
      <c r="I44" s="200"/>
      <c r="J44" s="263" t="s">
        <v>175</v>
      </c>
      <c r="K44" s="263"/>
      <c r="L44" s="263"/>
      <c r="M44" s="263"/>
      <c r="N44" s="263"/>
      <c r="O44" s="263"/>
      <c r="P44" s="263"/>
      <c r="Q44" s="263"/>
      <c r="R44" s="265" t="str">
        <f>IF(H42*H44&lt;&gt;0,(H42-H44)*100/H42,"-")</f>
        <v>-</v>
      </c>
      <c r="S44" s="265"/>
      <c r="T44" s="3"/>
      <c r="U44" s="2"/>
      <c r="V44" s="2"/>
      <c r="W44" s="2"/>
      <c r="X44" s="4"/>
    </row>
    <row r="45" spans="1:24" ht="12.75">
      <c r="A45" s="17"/>
      <c r="B45" s="262" t="s">
        <v>231</v>
      </c>
      <c r="C45" s="262"/>
      <c r="D45" s="262"/>
      <c r="E45" s="262"/>
      <c r="F45" s="262"/>
      <c r="G45" s="262"/>
      <c r="H45" s="200">
        <v>0</v>
      </c>
      <c r="I45" s="200"/>
      <c r="J45" s="263" t="s">
        <v>176</v>
      </c>
      <c r="K45" s="263"/>
      <c r="L45" s="263"/>
      <c r="M45" s="263"/>
      <c r="N45" s="263"/>
      <c r="O45" s="263"/>
      <c r="P45" s="263"/>
      <c r="Q45" s="263"/>
      <c r="R45" s="256" t="str">
        <f>IF(H42*H45&lt;&gt;0,(H42-H45)*100/H42,"-")</f>
        <v>-</v>
      </c>
      <c r="S45" s="256"/>
      <c r="T45" s="3"/>
      <c r="U45" s="2"/>
      <c r="V45" s="2"/>
      <c r="W45" s="2"/>
      <c r="X45" s="4"/>
    </row>
    <row r="46" spans="1:24" ht="12.75">
      <c r="A46" s="17"/>
      <c r="B46" s="35"/>
      <c r="C46" s="2"/>
      <c r="D46" s="2"/>
      <c r="E46" s="2"/>
      <c r="F46" s="2"/>
      <c r="G46" s="2"/>
      <c r="H46" s="36"/>
      <c r="I46" s="11"/>
      <c r="J46" s="37"/>
      <c r="K46" s="35"/>
      <c r="L46" s="3"/>
      <c r="M46" s="3"/>
      <c r="N46" s="2"/>
      <c r="O46" s="2"/>
      <c r="P46" s="2"/>
      <c r="Q46" s="2"/>
      <c r="R46" s="38"/>
      <c r="S46" s="3"/>
      <c r="T46" s="3"/>
      <c r="U46" s="2"/>
      <c r="V46" s="2"/>
      <c r="W46" s="2"/>
      <c r="X46" s="4"/>
    </row>
    <row r="47" spans="1:24" ht="12.75">
      <c r="A47" s="17"/>
      <c r="B47" s="262" t="s">
        <v>228</v>
      </c>
      <c r="C47" s="262"/>
      <c r="D47" s="262"/>
      <c r="E47" s="262"/>
      <c r="F47" s="262"/>
      <c r="G47" s="262"/>
      <c r="H47" s="200"/>
      <c r="I47" s="200"/>
      <c r="J47" s="264"/>
      <c r="K47" s="264"/>
      <c r="L47" s="264"/>
      <c r="M47" s="264"/>
      <c r="N47" s="264"/>
      <c r="O47" s="264"/>
      <c r="P47" s="264"/>
      <c r="Q47" s="264"/>
      <c r="R47" s="264"/>
      <c r="S47" s="264"/>
      <c r="T47" s="3"/>
      <c r="U47" s="2"/>
      <c r="V47" s="2"/>
      <c r="W47" s="2"/>
      <c r="X47" s="4"/>
    </row>
    <row r="48" spans="1:24" ht="12.75">
      <c r="A48" s="17"/>
      <c r="B48" s="262" t="s">
        <v>232</v>
      </c>
      <c r="C48" s="262"/>
      <c r="D48" s="262"/>
      <c r="E48" s="262"/>
      <c r="F48" s="262"/>
      <c r="G48" s="262"/>
      <c r="H48" s="200">
        <v>0</v>
      </c>
      <c r="I48" s="200"/>
      <c r="J48" s="263" t="s">
        <v>90</v>
      </c>
      <c r="K48" s="263"/>
      <c r="L48" s="263"/>
      <c r="M48" s="263"/>
      <c r="N48" s="263"/>
      <c r="O48" s="263"/>
      <c r="P48" s="263"/>
      <c r="Q48" s="263"/>
      <c r="R48" s="256" t="str">
        <f>IF(H47*H48&lt;&gt;0,(H47-H48)*100/H47,"-")</f>
        <v>-</v>
      </c>
      <c r="S48" s="256"/>
      <c r="T48" s="3"/>
      <c r="U48" s="2"/>
      <c r="V48" s="2"/>
      <c r="W48" s="2"/>
      <c r="X48" s="4"/>
    </row>
    <row r="49" spans="1:24" ht="12.75">
      <c r="A49" s="17"/>
      <c r="B49" s="255" t="s">
        <v>91</v>
      </c>
      <c r="C49" s="255"/>
      <c r="D49" s="255"/>
      <c r="E49" s="255"/>
      <c r="F49" s="255"/>
      <c r="G49" s="255"/>
      <c r="H49" s="256" t="str">
        <f>IF(H47*H48&lt;&gt;0,((0.1808*H47)+(0.8192*H48)),"-")</f>
        <v>-</v>
      </c>
      <c r="I49" s="256"/>
      <c r="J49" s="263" t="s">
        <v>92</v>
      </c>
      <c r="K49" s="263"/>
      <c r="L49" s="263"/>
      <c r="M49" s="263"/>
      <c r="N49" s="263"/>
      <c r="O49" s="263"/>
      <c r="P49" s="263"/>
      <c r="Q49" s="263"/>
      <c r="R49" s="256" t="e">
        <f>IF(H47*H49&lt;&gt;0,(H47-H49)*100/H47,"-")</f>
        <v>#VALUE!</v>
      </c>
      <c r="S49" s="256"/>
      <c r="T49" s="3"/>
      <c r="U49" s="2"/>
      <c r="V49" s="2"/>
      <c r="W49" s="2"/>
      <c r="X49" s="4"/>
    </row>
    <row r="50" spans="1:24" ht="12.75">
      <c r="A50" s="17"/>
      <c r="B50" s="255" t="s">
        <v>233</v>
      </c>
      <c r="C50" s="255"/>
      <c r="D50" s="255"/>
      <c r="E50" s="255"/>
      <c r="F50" s="255"/>
      <c r="G50" s="255"/>
      <c r="H50" s="261" t="str">
        <f>IF(H48&lt;&gt;0,261.1/(261.56-H48),"-")</f>
        <v>-</v>
      </c>
      <c r="I50" s="261"/>
      <c r="J50" s="257" t="s">
        <v>234</v>
      </c>
      <c r="K50" s="257"/>
      <c r="L50" s="257"/>
      <c r="M50" s="257"/>
      <c r="N50" s="257"/>
      <c r="O50" s="257"/>
      <c r="P50" s="257"/>
      <c r="Q50" s="257"/>
      <c r="R50" s="257"/>
      <c r="S50" s="257"/>
      <c r="T50" s="3"/>
      <c r="U50" s="2"/>
      <c r="V50" s="2"/>
      <c r="W50" s="2"/>
      <c r="X50" s="4"/>
    </row>
    <row r="51" spans="1:24" ht="12.75">
      <c r="A51" s="17"/>
      <c r="B51" s="255" t="s">
        <v>235</v>
      </c>
      <c r="C51" s="255"/>
      <c r="D51" s="255"/>
      <c r="E51" s="255"/>
      <c r="F51" s="255"/>
      <c r="G51" s="255"/>
      <c r="H51" s="256" t="str">
        <f>IF(H47*H48&lt;&gt;0,81.92*(H47-H48)/(206.65-1.0665*H47),"-")</f>
        <v>-</v>
      </c>
      <c r="I51" s="256"/>
      <c r="J51" s="257" t="s">
        <v>234</v>
      </c>
      <c r="K51" s="257"/>
      <c r="L51" s="257"/>
      <c r="M51" s="257"/>
      <c r="N51" s="257"/>
      <c r="O51" s="257"/>
      <c r="P51" s="257"/>
      <c r="Q51" s="257"/>
      <c r="R51" s="257"/>
      <c r="S51" s="257"/>
      <c r="T51" s="3"/>
      <c r="U51" s="2"/>
      <c r="V51" s="2"/>
      <c r="W51" s="2"/>
      <c r="X51" s="4"/>
    </row>
    <row r="52" spans="1:24" ht="12.75">
      <c r="A52" s="17"/>
      <c r="B52" s="255" t="s">
        <v>236</v>
      </c>
      <c r="C52" s="255"/>
      <c r="D52" s="255"/>
      <c r="E52" s="255"/>
      <c r="F52" s="255"/>
      <c r="G52" s="255"/>
      <c r="H52" s="256" t="e">
        <f>IF(H50*H51&lt;&gt;0,H50*H51/0.794,"-")</f>
        <v>#VALUE!</v>
      </c>
      <c r="I52" s="256"/>
      <c r="J52" s="257" t="s">
        <v>234</v>
      </c>
      <c r="K52" s="257"/>
      <c r="L52" s="257"/>
      <c r="M52" s="257"/>
      <c r="N52" s="257"/>
      <c r="O52" s="257"/>
      <c r="P52" s="257"/>
      <c r="Q52" s="257"/>
      <c r="R52" s="257"/>
      <c r="S52" s="257"/>
      <c r="T52" s="3"/>
      <c r="U52" s="2"/>
      <c r="V52" s="2"/>
      <c r="W52" s="2"/>
      <c r="X52" s="4"/>
    </row>
    <row r="53" spans="1:24" ht="12.75">
      <c r="A53" s="17"/>
      <c r="B53" s="255" t="s">
        <v>227</v>
      </c>
      <c r="C53" s="255"/>
      <c r="D53" s="255"/>
      <c r="E53" s="255"/>
      <c r="F53" s="255"/>
      <c r="G53" s="255"/>
      <c r="H53" s="258" t="e">
        <f>IF(H51*H49&lt;&gt;0,(6.9*H51+4*(H49-0.1))*10*0.1,"-")</f>
        <v>#VALUE!</v>
      </c>
      <c r="I53" s="258"/>
      <c r="J53" s="259" t="s">
        <v>93</v>
      </c>
      <c r="K53" s="259"/>
      <c r="L53" s="260"/>
      <c r="M53" s="260"/>
      <c r="N53" s="260"/>
      <c r="O53" s="260"/>
      <c r="P53" s="260"/>
      <c r="Q53" s="260"/>
      <c r="R53" s="260"/>
      <c r="S53" s="260"/>
      <c r="T53" s="3"/>
      <c r="U53" s="2"/>
      <c r="V53" s="2"/>
      <c r="W53" s="2"/>
      <c r="X53" s="4"/>
    </row>
    <row r="54" spans="1:24" ht="12.75">
      <c r="A54" s="17"/>
      <c r="B54" s="5"/>
      <c r="C54" s="5"/>
      <c r="D54" s="5"/>
      <c r="E54" s="5"/>
      <c r="F54" s="5"/>
      <c r="G54" s="5"/>
      <c r="H54" s="5"/>
      <c r="I54" s="5"/>
      <c r="J54" s="5"/>
      <c r="K54" s="5"/>
      <c r="L54" s="5"/>
      <c r="M54" s="5"/>
      <c r="N54" s="5"/>
      <c r="O54" s="5"/>
      <c r="P54" s="5"/>
      <c r="Q54" s="5"/>
      <c r="R54" s="5"/>
      <c r="S54" s="5"/>
      <c r="T54" s="5"/>
      <c r="U54" s="5"/>
      <c r="V54" s="5"/>
      <c r="W54" s="2"/>
      <c r="X54" s="4"/>
    </row>
    <row r="55" spans="1:24" ht="12.75">
      <c r="A55" s="17"/>
      <c r="B55" s="5"/>
      <c r="C55" s="5"/>
      <c r="D55" s="5"/>
      <c r="E55" s="5"/>
      <c r="F55" s="5"/>
      <c r="G55" s="5"/>
      <c r="H55" s="5"/>
      <c r="I55" s="5"/>
      <c r="J55" s="5"/>
      <c r="K55" s="5"/>
      <c r="L55" s="5"/>
      <c r="M55" s="5"/>
      <c r="N55" s="5"/>
      <c r="O55" s="5"/>
      <c r="P55" s="5"/>
      <c r="Q55" s="5"/>
      <c r="R55" s="5"/>
      <c r="S55" s="5"/>
      <c r="T55" s="5"/>
      <c r="U55" s="5"/>
      <c r="V55" s="5"/>
      <c r="W55" s="2"/>
      <c r="X55" s="4"/>
    </row>
    <row r="56" spans="1:24" ht="12.75">
      <c r="A56" s="2"/>
      <c r="B56" s="5"/>
      <c r="C56" s="5"/>
      <c r="D56" s="5"/>
      <c r="E56" s="5"/>
      <c r="F56" s="5"/>
      <c r="G56" s="5"/>
      <c r="H56" s="5"/>
      <c r="I56" s="5"/>
      <c r="J56" s="5"/>
      <c r="K56" s="5"/>
      <c r="L56" s="5"/>
      <c r="M56" s="5"/>
      <c r="N56" s="5"/>
      <c r="O56" s="5"/>
      <c r="P56" s="5"/>
      <c r="Q56" s="5"/>
      <c r="R56" s="5"/>
      <c r="S56" s="5"/>
      <c r="T56" s="5"/>
      <c r="U56" s="5"/>
      <c r="V56" s="5"/>
      <c r="W56" s="2"/>
      <c r="X56" s="4"/>
    </row>
    <row r="57" spans="1:24" ht="12.75">
      <c r="A57" s="2"/>
      <c r="B57" s="5" t="s">
        <v>94</v>
      </c>
      <c r="C57" s="5"/>
      <c r="D57" s="5"/>
      <c r="E57" s="5"/>
      <c r="F57" s="5"/>
      <c r="G57" s="5"/>
      <c r="H57" s="5"/>
      <c r="I57" s="5"/>
      <c r="J57" s="5"/>
      <c r="K57" s="5"/>
      <c r="L57" s="5"/>
      <c r="M57" s="5"/>
      <c r="N57" s="5"/>
      <c r="O57" s="5"/>
      <c r="P57" s="5"/>
      <c r="Q57" s="5"/>
      <c r="R57" s="5"/>
      <c r="S57" s="5"/>
      <c r="T57" s="5"/>
      <c r="U57" s="5"/>
      <c r="V57" s="5"/>
      <c r="W57" s="2"/>
      <c r="X57" s="4"/>
    </row>
    <row r="58" spans="1:24" ht="12.75">
      <c r="A58" s="17"/>
      <c r="B58" s="5"/>
      <c r="C58" s="5"/>
      <c r="D58" s="5"/>
      <c r="E58" s="5"/>
      <c r="F58" s="5"/>
      <c r="G58" s="5"/>
      <c r="H58" s="5"/>
      <c r="I58" s="5"/>
      <c r="J58" s="5"/>
      <c r="K58" s="5"/>
      <c r="L58" s="5"/>
      <c r="M58" s="5"/>
      <c r="N58" s="5"/>
      <c r="O58" s="5"/>
      <c r="P58" s="5"/>
      <c r="Q58" s="5"/>
      <c r="R58" s="5"/>
      <c r="S58" s="5"/>
      <c r="T58" s="5"/>
      <c r="U58" s="5"/>
      <c r="V58" s="5"/>
      <c r="W58" s="5"/>
      <c r="X58" s="39"/>
    </row>
    <row r="59" spans="1:24" ht="12.75">
      <c r="A59" s="17"/>
      <c r="B59" s="249" t="s">
        <v>95</v>
      </c>
      <c r="C59" s="249"/>
      <c r="D59" s="249"/>
      <c r="E59" s="249"/>
      <c r="F59" s="249"/>
      <c r="G59" s="249"/>
      <c r="H59" s="249"/>
      <c r="I59" s="249"/>
      <c r="J59" s="253">
        <v>0</v>
      </c>
      <c r="K59" s="253"/>
      <c r="L59" s="253"/>
      <c r="M59" s="5"/>
      <c r="N59" s="40">
        <f>ROUND(J62,0)</f>
        <v>0</v>
      </c>
      <c r="O59" s="41" t="s">
        <v>75</v>
      </c>
      <c r="P59" s="42"/>
      <c r="Q59" s="42"/>
      <c r="R59" s="42"/>
      <c r="S59" s="42"/>
      <c r="T59" s="5"/>
      <c r="U59" s="5"/>
      <c r="V59" s="5"/>
      <c r="W59" s="5"/>
      <c r="X59" s="39"/>
    </row>
    <row r="60" spans="1:24" ht="12.75">
      <c r="A60" s="17"/>
      <c r="B60" s="249" t="s">
        <v>0</v>
      </c>
      <c r="C60" s="249"/>
      <c r="D60" s="249"/>
      <c r="E60" s="249"/>
      <c r="F60" s="249"/>
      <c r="G60" s="249"/>
      <c r="H60" s="249"/>
      <c r="I60" s="249"/>
      <c r="J60" s="254">
        <v>0</v>
      </c>
      <c r="K60" s="254"/>
      <c r="L60" s="254"/>
      <c r="M60" s="5"/>
      <c r="N60" s="43">
        <f>1.013*(2.71828182845904^(-10.73797+(2617.25/(J62+273.15))))*10</f>
        <v>3.1875830579385687</v>
      </c>
      <c r="O60" s="41" t="s">
        <v>1</v>
      </c>
      <c r="P60" s="42"/>
      <c r="Q60" s="42"/>
      <c r="R60" s="42"/>
      <c r="S60" s="42"/>
      <c r="T60" s="5"/>
      <c r="U60" s="5"/>
      <c r="V60" s="5"/>
      <c r="W60" s="5"/>
      <c r="X60" s="39"/>
    </row>
    <row r="61" spans="1:24" ht="12.75">
      <c r="A61" s="17"/>
      <c r="B61" s="249" t="s">
        <v>76</v>
      </c>
      <c r="C61" s="249"/>
      <c r="D61" s="249"/>
      <c r="E61" s="249"/>
      <c r="F61" s="249"/>
      <c r="G61" s="249"/>
      <c r="H61" s="249"/>
      <c r="I61" s="249"/>
      <c r="J61" s="251">
        <v>0</v>
      </c>
      <c r="K61" s="251"/>
      <c r="L61" s="251"/>
      <c r="M61" s="5"/>
      <c r="N61" s="40">
        <f>((J60-N60)/(((J61*(100-(J63*100/(J61+0.00001))))/20)-N60))*100</f>
        <v>100</v>
      </c>
      <c r="O61" s="41" t="s">
        <v>2</v>
      </c>
      <c r="P61" s="42"/>
      <c r="Q61" s="42"/>
      <c r="R61" s="42"/>
      <c r="S61" s="42"/>
      <c r="T61" s="5"/>
      <c r="U61" s="5"/>
      <c r="V61" s="5"/>
      <c r="W61" s="5"/>
      <c r="X61" s="39"/>
    </row>
    <row r="62" spans="1:24" ht="12.75">
      <c r="A62" s="17"/>
      <c r="B62" s="249" t="s">
        <v>77</v>
      </c>
      <c r="C62" s="249"/>
      <c r="D62" s="249"/>
      <c r="E62" s="249"/>
      <c r="F62" s="249"/>
      <c r="G62" s="249"/>
      <c r="H62" s="249"/>
      <c r="I62" s="249"/>
      <c r="J62" s="250">
        <v>0</v>
      </c>
      <c r="K62" s="250"/>
      <c r="L62" s="250"/>
      <c r="M62" s="5"/>
      <c r="N62" s="44">
        <f>2*(J60-N60)</f>
        <v>-6.375166115877137</v>
      </c>
      <c r="O62" s="41" t="s">
        <v>78</v>
      </c>
      <c r="P62" s="42"/>
      <c r="Q62" s="42"/>
      <c r="R62" s="42"/>
      <c r="S62" s="42"/>
      <c r="T62" s="5"/>
      <c r="U62" s="5"/>
      <c r="V62" s="5"/>
      <c r="W62" s="5"/>
      <c r="X62" s="39"/>
    </row>
    <row r="63" spans="1:24" ht="12.75">
      <c r="A63" s="17"/>
      <c r="B63" s="249" t="s">
        <v>3</v>
      </c>
      <c r="C63" s="249"/>
      <c r="D63" s="249"/>
      <c r="E63" s="249"/>
      <c r="F63" s="249"/>
      <c r="G63" s="249"/>
      <c r="H63" s="249"/>
      <c r="I63" s="249"/>
      <c r="J63" s="251">
        <v>0</v>
      </c>
      <c r="K63" s="251"/>
      <c r="L63" s="251"/>
      <c r="M63" s="5"/>
      <c r="N63" s="45">
        <f>261.1/(261.53-J63)</f>
        <v>0.9983558291591789</v>
      </c>
      <c r="O63" s="41" t="s">
        <v>79</v>
      </c>
      <c r="P63" s="42"/>
      <c r="Q63" s="42"/>
      <c r="R63" s="42"/>
      <c r="S63" s="42"/>
      <c r="T63" s="5"/>
      <c r="U63" s="5"/>
      <c r="V63" s="5"/>
      <c r="W63" s="5"/>
      <c r="X63" s="39"/>
    </row>
    <row r="64" spans="1:24" ht="12.75">
      <c r="A64" s="17"/>
      <c r="B64" s="252" t="s">
        <v>80</v>
      </c>
      <c r="C64" s="252"/>
      <c r="D64" s="252"/>
      <c r="E64" s="252"/>
      <c r="F64" s="252"/>
      <c r="G64" s="252"/>
      <c r="H64" s="252"/>
      <c r="I64" s="252"/>
      <c r="J64" s="251">
        <v>0</v>
      </c>
      <c r="K64" s="251"/>
      <c r="L64" s="251"/>
      <c r="M64" s="5"/>
      <c r="N64" s="46">
        <f>261.1/(261.53-J61)</f>
        <v>0.9983558291591789</v>
      </c>
      <c r="O64" s="41" t="s">
        <v>5</v>
      </c>
      <c r="P64" s="42"/>
      <c r="Q64" s="42"/>
      <c r="R64" s="42"/>
      <c r="S64" s="42"/>
      <c r="T64" s="5"/>
      <c r="U64" s="5"/>
      <c r="V64" s="5"/>
      <c r="W64" s="5"/>
      <c r="X64" s="39"/>
    </row>
    <row r="65" spans="1:24" ht="12.75">
      <c r="A65" s="17"/>
      <c r="B65" s="243" t="s">
        <v>4</v>
      </c>
      <c r="C65" s="243"/>
      <c r="D65" s="243"/>
      <c r="E65" s="243"/>
      <c r="F65" s="243"/>
      <c r="G65" s="243"/>
      <c r="H65" s="243"/>
      <c r="I65" s="243"/>
      <c r="J65" s="244" t="str">
        <f>IF(J59*J60*J61*J63*J64&gt;0,J63+N62/(8.192*N63),"-")</f>
        <v>-</v>
      </c>
      <c r="K65" s="244"/>
      <c r="L65" s="244"/>
      <c r="M65" s="5"/>
      <c r="N65" s="47">
        <f>(J61-J63)*8.192*N64</f>
        <v>0</v>
      </c>
      <c r="O65" s="41" t="s">
        <v>81</v>
      </c>
      <c r="P65" s="42"/>
      <c r="Q65" s="42"/>
      <c r="R65" s="42"/>
      <c r="S65" s="42"/>
      <c r="T65" s="5"/>
      <c r="U65" s="5"/>
      <c r="V65" s="5"/>
      <c r="W65" s="5"/>
      <c r="X65" s="39"/>
    </row>
    <row r="66" spans="1:24" ht="12.75">
      <c r="A66" s="17"/>
      <c r="B66" s="245" t="s">
        <v>82</v>
      </c>
      <c r="C66" s="245"/>
      <c r="D66" s="245"/>
      <c r="E66" s="245"/>
      <c r="F66" s="245"/>
      <c r="G66" s="245"/>
      <c r="H66" s="245"/>
      <c r="I66" s="245"/>
      <c r="J66" s="244"/>
      <c r="K66" s="244"/>
      <c r="L66" s="244"/>
      <c r="M66" s="5"/>
      <c r="N66" s="48" t="e">
        <f>(J65-J64)*8.192*N63</f>
        <v>#VALUE!</v>
      </c>
      <c r="O66" s="41" t="s">
        <v>83</v>
      </c>
      <c r="P66" s="42"/>
      <c r="Q66" s="42"/>
      <c r="R66" s="42"/>
      <c r="S66" s="42"/>
      <c r="T66" s="5"/>
      <c r="U66" s="5"/>
      <c r="V66" s="5"/>
      <c r="W66" s="5"/>
      <c r="X66" s="39"/>
    </row>
    <row r="67" spans="1:24" ht="12.75">
      <c r="A67" s="17"/>
      <c r="B67" s="246" t="s">
        <v>84</v>
      </c>
      <c r="C67" s="246"/>
      <c r="D67" s="246"/>
      <c r="E67" s="246"/>
      <c r="F67" s="246"/>
      <c r="G67" s="246"/>
      <c r="H67" s="246"/>
      <c r="I67" s="246"/>
      <c r="J67" s="247" t="str">
        <f>IF(J59*J60*J61*J63*J64&gt;0,J59*N66/(N65-N66),"-")</f>
        <v>-</v>
      </c>
      <c r="K67" s="247"/>
      <c r="L67" s="247"/>
      <c r="M67" s="5"/>
      <c r="N67" s="42"/>
      <c r="O67" s="41"/>
      <c r="P67" s="42"/>
      <c r="Q67" s="42"/>
      <c r="R67" s="42"/>
      <c r="S67" s="42"/>
      <c r="T67" s="5"/>
      <c r="U67" s="5"/>
      <c r="V67" s="5"/>
      <c r="W67" s="5"/>
      <c r="X67" s="39"/>
    </row>
    <row r="68" spans="1:24" ht="12.75">
      <c r="A68" s="17"/>
      <c r="B68" s="246" t="s">
        <v>85</v>
      </c>
      <c r="C68" s="246"/>
      <c r="D68" s="246"/>
      <c r="E68" s="246"/>
      <c r="F68" s="246"/>
      <c r="G68" s="246"/>
      <c r="H68" s="246"/>
      <c r="I68" s="246"/>
      <c r="J68" s="248" t="str">
        <f>IF(J59*J60*J61*J63*J64&gt;0,(J65-J64)*8.192*N63*J59,"-")</f>
        <v>-</v>
      </c>
      <c r="K68" s="248"/>
      <c r="L68" s="248"/>
      <c r="M68" s="5"/>
      <c r="N68" s="241">
        <f>J59/(100-N61+0.0001)*N61</f>
        <v>0</v>
      </c>
      <c r="O68" s="241"/>
      <c r="P68" s="241"/>
      <c r="Q68" s="42"/>
      <c r="R68" s="42"/>
      <c r="S68" s="42"/>
      <c r="T68" s="5"/>
      <c r="U68" s="5"/>
      <c r="V68" s="5"/>
      <c r="W68" s="5"/>
      <c r="X68" s="39"/>
    </row>
    <row r="69" spans="1:24" ht="12.75">
      <c r="A69" s="17"/>
      <c r="B69" s="143" t="str">
        <f>IF(J64&gt;J65,"  ACHTUNG! Extrakt des Jungbier ist noch zu hoch!","  Bemerkung: keine")</f>
        <v>  Bemerkung: keine</v>
      </c>
      <c r="C69" s="143"/>
      <c r="D69" s="143"/>
      <c r="E69" s="143"/>
      <c r="F69" s="143"/>
      <c r="G69" s="143"/>
      <c r="H69" s="143"/>
      <c r="I69" s="143"/>
      <c r="J69" s="143"/>
      <c r="K69" s="143"/>
      <c r="L69" s="143"/>
      <c r="M69" s="5"/>
      <c r="N69" s="42"/>
      <c r="O69" s="42"/>
      <c r="P69" s="42"/>
      <c r="Q69" s="42"/>
      <c r="R69" s="42"/>
      <c r="S69" s="42"/>
      <c r="T69" s="5"/>
      <c r="U69" s="5"/>
      <c r="V69" s="5"/>
      <c r="W69" s="5"/>
      <c r="X69" s="39"/>
    </row>
    <row r="70" spans="1:24" ht="12.75">
      <c r="A70" s="17"/>
      <c r="B70" s="5"/>
      <c r="C70" s="5"/>
      <c r="D70" s="5"/>
      <c r="E70" s="5"/>
      <c r="F70" s="5"/>
      <c r="G70" s="5"/>
      <c r="H70" s="5"/>
      <c r="I70" s="5"/>
      <c r="J70" s="5"/>
      <c r="K70" s="5"/>
      <c r="L70" s="5"/>
      <c r="M70" s="2"/>
      <c r="N70" s="2"/>
      <c r="O70" s="2"/>
      <c r="P70" s="2"/>
      <c r="Q70" s="2"/>
      <c r="R70" s="2"/>
      <c r="S70" s="2"/>
      <c r="T70" s="2"/>
      <c r="U70" s="2"/>
      <c r="V70" s="2"/>
      <c r="W70" s="2"/>
      <c r="X70" s="4"/>
    </row>
    <row r="71" spans="1:24" ht="12.75">
      <c r="A71" s="17"/>
      <c r="B71" s="5"/>
      <c r="C71" s="5"/>
      <c r="D71" s="5"/>
      <c r="E71" s="5"/>
      <c r="F71" s="5"/>
      <c r="G71" s="5"/>
      <c r="H71" s="5"/>
      <c r="I71" s="5"/>
      <c r="J71" s="5"/>
      <c r="K71" s="5"/>
      <c r="L71" s="5"/>
      <c r="M71" s="2"/>
      <c r="N71" s="2"/>
      <c r="O71" s="2"/>
      <c r="P71" s="2"/>
      <c r="Q71" s="2"/>
      <c r="R71" s="2"/>
      <c r="S71" s="2"/>
      <c r="T71" s="2"/>
      <c r="U71" s="2"/>
      <c r="V71" s="2"/>
      <c r="W71" s="2"/>
      <c r="X71" s="4"/>
    </row>
    <row r="72" spans="1:24" ht="12.75">
      <c r="A72" s="17"/>
      <c r="B72" s="5"/>
      <c r="C72" s="5"/>
      <c r="D72" s="5"/>
      <c r="E72" s="5"/>
      <c r="F72" s="5"/>
      <c r="G72" s="5"/>
      <c r="H72" s="5"/>
      <c r="I72" s="5"/>
      <c r="J72" s="5"/>
      <c r="K72" s="5"/>
      <c r="L72" s="5"/>
      <c r="M72" s="2"/>
      <c r="N72" s="2"/>
      <c r="O72" s="2"/>
      <c r="P72" s="2"/>
      <c r="Q72" s="2"/>
      <c r="R72" s="2"/>
      <c r="S72" s="2"/>
      <c r="T72" s="2"/>
      <c r="U72" s="2"/>
      <c r="V72" s="2"/>
      <c r="W72" s="2"/>
      <c r="X72" s="4"/>
    </row>
    <row r="73" spans="1:24" ht="12.75">
      <c r="A73" s="17"/>
      <c r="B73" s="5" t="s">
        <v>86</v>
      </c>
      <c r="C73" s="5"/>
      <c r="D73" s="5"/>
      <c r="E73" s="5"/>
      <c r="F73" s="5"/>
      <c r="G73" s="5"/>
      <c r="H73" s="5"/>
      <c r="I73" s="5"/>
      <c r="J73" s="5"/>
      <c r="K73" s="5"/>
      <c r="L73" s="5"/>
      <c r="M73" s="2"/>
      <c r="N73" s="2"/>
      <c r="O73" s="2"/>
      <c r="P73" s="2"/>
      <c r="Q73" s="2"/>
      <c r="R73" s="2"/>
      <c r="S73" s="2"/>
      <c r="T73" s="2"/>
      <c r="U73" s="2"/>
      <c r="V73" s="2"/>
      <c r="W73" s="2"/>
      <c r="X73" s="4"/>
    </row>
    <row r="74" spans="1:24" ht="12.75">
      <c r="A74" s="17"/>
      <c r="B74" s="5"/>
      <c r="C74" s="5"/>
      <c r="D74" s="5"/>
      <c r="E74" s="5"/>
      <c r="F74" s="5"/>
      <c r="G74" s="5"/>
      <c r="H74" s="5"/>
      <c r="I74" s="5"/>
      <c r="J74" s="5"/>
      <c r="K74" s="5"/>
      <c r="L74" s="5"/>
      <c r="M74" s="2"/>
      <c r="N74" s="2"/>
      <c r="O74" s="2"/>
      <c r="P74" s="2"/>
      <c r="Q74" s="2"/>
      <c r="R74" s="2"/>
      <c r="S74" s="2"/>
      <c r="T74" s="2"/>
      <c r="U74" s="2"/>
      <c r="V74" s="2"/>
      <c r="W74" s="2"/>
      <c r="X74" s="4"/>
    </row>
    <row r="75" spans="1:24" ht="12.75">
      <c r="A75" s="17"/>
      <c r="B75" s="242" t="s">
        <v>264</v>
      </c>
      <c r="C75" s="147"/>
      <c r="D75" s="147"/>
      <c r="E75" s="147"/>
      <c r="F75" s="147"/>
      <c r="G75" s="147"/>
      <c r="H75" s="147"/>
      <c r="I75" s="147"/>
      <c r="J75" s="147"/>
      <c r="K75" s="171">
        <v>0</v>
      </c>
      <c r="L75" s="171"/>
      <c r="M75" s="2"/>
      <c r="N75" s="2"/>
      <c r="O75" s="2"/>
      <c r="P75" s="2"/>
      <c r="Q75" s="2"/>
      <c r="R75" s="2"/>
      <c r="S75" s="2"/>
      <c r="T75" s="2"/>
      <c r="U75" s="2"/>
      <c r="V75" s="2"/>
      <c r="W75" s="2"/>
      <c r="X75" s="4"/>
    </row>
    <row r="76" spans="1:24" ht="12.75">
      <c r="A76" s="17"/>
      <c r="B76" s="147" t="s">
        <v>100</v>
      </c>
      <c r="C76" s="147"/>
      <c r="D76" s="147"/>
      <c r="E76" s="147"/>
      <c r="F76" s="147"/>
      <c r="G76" s="147"/>
      <c r="H76" s="147"/>
      <c r="I76" s="147"/>
      <c r="J76" s="147"/>
      <c r="K76" s="171">
        <v>0</v>
      </c>
      <c r="L76" s="171"/>
      <c r="M76" s="2"/>
      <c r="N76" s="2"/>
      <c r="O76" s="2"/>
      <c r="P76" s="2"/>
      <c r="Q76" s="2"/>
      <c r="R76" s="2"/>
      <c r="S76" s="2"/>
      <c r="T76" s="2"/>
      <c r="U76" s="2"/>
      <c r="V76" s="2"/>
      <c r="W76" s="2"/>
      <c r="X76" s="4"/>
    </row>
    <row r="77" spans="1:24" s="22" customFormat="1" ht="12.75">
      <c r="A77" s="17"/>
      <c r="B77" s="237" t="s">
        <v>101</v>
      </c>
      <c r="C77" s="237"/>
      <c r="D77" s="237"/>
      <c r="E77" s="237"/>
      <c r="F77" s="237"/>
      <c r="G77" s="237"/>
      <c r="H77" s="237"/>
      <c r="I77" s="237"/>
      <c r="J77" s="237"/>
      <c r="K77" s="238" t="str">
        <f>IF(K75-K76&gt;K75/5,-676.67+1286.4*(N77)-800.47*(N77)^2+190.74*(N77)^3,"Diff.")</f>
        <v>Diff.</v>
      </c>
      <c r="L77" s="238"/>
      <c r="M77" s="49" t="e">
        <f>(261.1/(261.56-K77))</f>
        <v>#VALUE!</v>
      </c>
      <c r="N77" s="49">
        <f>((1.001843-0.002318474*K75-0.000007775*K75^2-0.000000034*K75^3+0.00574*K76+0.00003344*K76^2+0.000000086*K76^3)+0.00033)</f>
        <v>1.002173</v>
      </c>
      <c r="O77" s="50" t="e">
        <f>81.92*(K75-K77)/(206.65-1.0665*K75)</f>
        <v>#VALUE!</v>
      </c>
      <c r="P77" s="2"/>
      <c r="Q77" s="2"/>
      <c r="R77" s="2"/>
      <c r="S77" s="2"/>
      <c r="T77" s="2"/>
      <c r="U77" s="2"/>
      <c r="V77" s="2"/>
      <c r="W77" s="2"/>
      <c r="X77" s="4"/>
    </row>
    <row r="78" spans="1:24" ht="12.75">
      <c r="A78" s="17"/>
      <c r="B78" s="239" t="s">
        <v>102</v>
      </c>
      <c r="C78" s="239"/>
      <c r="D78" s="239"/>
      <c r="E78" s="239"/>
      <c r="F78" s="239"/>
      <c r="G78" s="239"/>
      <c r="H78" s="239"/>
      <c r="I78" s="239"/>
      <c r="J78" s="239"/>
      <c r="K78" s="196" t="str">
        <f>IF(K75-K76&gt;K75/5,M77*O77/0.794,"Diff.")</f>
        <v>Diff.</v>
      </c>
      <c r="L78" s="196"/>
      <c r="M78" s="240"/>
      <c r="N78" s="240"/>
      <c r="O78" s="2"/>
      <c r="P78" s="2"/>
      <c r="Q78" s="2"/>
      <c r="R78" s="2"/>
      <c r="S78" s="2"/>
      <c r="T78" s="2"/>
      <c r="U78" s="2"/>
      <c r="V78" s="2"/>
      <c r="W78" s="2"/>
      <c r="X78" s="4"/>
    </row>
    <row r="79" spans="1:24" ht="12.75">
      <c r="A79" s="17"/>
      <c r="B79" s="5"/>
      <c r="C79" s="5"/>
      <c r="D79" s="5"/>
      <c r="E79" s="5"/>
      <c r="F79" s="5"/>
      <c r="G79" s="5"/>
      <c r="H79" s="5"/>
      <c r="I79" s="5"/>
      <c r="J79" s="5"/>
      <c r="K79" s="5"/>
      <c r="L79" s="5"/>
      <c r="M79" s="5"/>
      <c r="N79" s="5"/>
      <c r="O79" s="5"/>
      <c r="P79" s="5"/>
      <c r="Q79" s="5"/>
      <c r="R79" s="5"/>
      <c r="S79" s="5"/>
      <c r="T79" s="5"/>
      <c r="U79" s="5"/>
      <c r="V79" s="5"/>
      <c r="W79" s="2"/>
      <c r="X79" s="4"/>
    </row>
    <row r="80" spans="1:24" ht="25.5" customHeight="1">
      <c r="A80" s="17"/>
      <c r="B80" s="5"/>
      <c r="C80" s="5"/>
      <c r="D80" s="5"/>
      <c r="E80" s="5"/>
      <c r="F80" s="5"/>
      <c r="G80" s="5"/>
      <c r="H80" s="5"/>
      <c r="I80" s="5"/>
      <c r="J80" s="5"/>
      <c r="K80" s="5"/>
      <c r="L80" s="5"/>
      <c r="M80" s="5"/>
      <c r="N80" s="5"/>
      <c r="O80" s="5"/>
      <c r="P80" s="5"/>
      <c r="Q80" s="5"/>
      <c r="R80" s="5"/>
      <c r="S80" s="5"/>
      <c r="T80" s="5"/>
      <c r="U80" s="5"/>
      <c r="V80" s="5"/>
      <c r="W80" s="2"/>
      <c r="X80" s="4"/>
    </row>
    <row r="81" spans="1:24" ht="15.75">
      <c r="A81" s="2"/>
      <c r="B81" s="5" t="s">
        <v>103</v>
      </c>
      <c r="C81" s="5"/>
      <c r="D81" s="5"/>
      <c r="E81" s="5"/>
      <c r="F81" s="5"/>
      <c r="G81" s="5"/>
      <c r="H81" s="5"/>
      <c r="I81" s="5"/>
      <c r="J81" s="5"/>
      <c r="K81" s="5"/>
      <c r="L81" s="5"/>
      <c r="M81" s="5"/>
      <c r="N81" s="5"/>
      <c r="O81" s="5"/>
      <c r="P81" s="5"/>
      <c r="Q81" s="5"/>
      <c r="R81" s="5"/>
      <c r="S81" s="5"/>
      <c r="T81" s="5"/>
      <c r="U81" s="5"/>
      <c r="V81" s="5"/>
      <c r="W81" s="2"/>
      <c r="X81" s="4"/>
    </row>
    <row r="82" spans="1:24" ht="12.75">
      <c r="A82" s="17"/>
      <c r="B82" s="5"/>
      <c r="C82" s="5"/>
      <c r="D82" s="5"/>
      <c r="E82" s="5"/>
      <c r="F82" s="5"/>
      <c r="G82" s="5"/>
      <c r="H82" s="5"/>
      <c r="I82" s="5"/>
      <c r="J82" s="5"/>
      <c r="K82" s="5"/>
      <c r="L82" s="5"/>
      <c r="M82" s="5"/>
      <c r="N82" s="5"/>
      <c r="O82" s="5"/>
      <c r="P82" s="5"/>
      <c r="Q82" s="5"/>
      <c r="R82" s="5"/>
      <c r="S82" s="5"/>
      <c r="T82" s="5"/>
      <c r="U82" s="5"/>
      <c r="V82" s="5"/>
      <c r="W82" s="2"/>
      <c r="X82" s="4"/>
    </row>
    <row r="83" spans="1:24" ht="15.75">
      <c r="A83" s="17"/>
      <c r="B83" s="134" t="s">
        <v>238</v>
      </c>
      <c r="C83" s="134"/>
      <c r="D83" s="134"/>
      <c r="E83" s="197" t="s">
        <v>222</v>
      </c>
      <c r="F83" s="197"/>
      <c r="G83" s="197"/>
      <c r="H83" s="134" t="s">
        <v>237</v>
      </c>
      <c r="I83" s="134"/>
      <c r="J83" s="134"/>
      <c r="K83" s="2"/>
      <c r="L83" s="2"/>
      <c r="M83" s="2"/>
      <c r="N83" s="2"/>
      <c r="O83" s="2"/>
      <c r="P83" s="2"/>
      <c r="Q83" s="2"/>
      <c r="R83" s="2"/>
      <c r="S83" s="2"/>
      <c r="T83" s="2"/>
      <c r="U83" s="2"/>
      <c r="V83" s="2"/>
      <c r="W83" s="2"/>
      <c r="X83" s="4"/>
    </row>
    <row r="84" spans="1:24" ht="12.75">
      <c r="A84" s="17"/>
      <c r="B84" s="234">
        <v>1.05</v>
      </c>
      <c r="C84" s="234"/>
      <c r="D84" s="234"/>
      <c r="E84" s="235">
        <v>0</v>
      </c>
      <c r="F84" s="235"/>
      <c r="G84" s="235"/>
      <c r="H84" s="236">
        <f>((B84+1.013)*EXP(-10.73797+(2617.25/(E84+273.15))))*10</f>
        <v>6.491593137736675</v>
      </c>
      <c r="I84" s="236"/>
      <c r="J84" s="236"/>
      <c r="K84" s="2"/>
      <c r="L84" s="2"/>
      <c r="M84" s="2"/>
      <c r="N84" s="2"/>
      <c r="O84" s="2"/>
      <c r="P84" s="2"/>
      <c r="Q84" s="2"/>
      <c r="R84" s="2"/>
      <c r="S84" s="2"/>
      <c r="T84" s="2"/>
      <c r="U84" s="2"/>
      <c r="V84" s="2"/>
      <c r="W84" s="2"/>
      <c r="X84" s="4"/>
    </row>
    <row r="85" spans="1:24" ht="12.75">
      <c r="A85" s="17"/>
      <c r="B85" s="5"/>
      <c r="C85" s="5"/>
      <c r="D85" s="5"/>
      <c r="E85" s="5"/>
      <c r="F85" s="5"/>
      <c r="G85" s="5"/>
      <c r="H85" s="5"/>
      <c r="I85" s="5"/>
      <c r="J85" s="5"/>
      <c r="K85" s="5"/>
      <c r="L85" s="5"/>
      <c r="M85" s="5"/>
      <c r="N85" s="5"/>
      <c r="O85" s="5"/>
      <c r="P85" s="5"/>
      <c r="Q85" s="5"/>
      <c r="R85" s="5"/>
      <c r="S85" s="5"/>
      <c r="T85" s="5"/>
      <c r="U85" s="5"/>
      <c r="V85" s="5"/>
      <c r="W85" s="2"/>
      <c r="X85" s="4"/>
    </row>
    <row r="86" spans="1:24" ht="12.75">
      <c r="A86" s="17"/>
      <c r="B86" s="5"/>
      <c r="C86" s="5"/>
      <c r="D86" s="5"/>
      <c r="E86" s="5"/>
      <c r="F86" s="5"/>
      <c r="G86" s="5"/>
      <c r="H86" s="5"/>
      <c r="I86" s="5"/>
      <c r="J86" s="5"/>
      <c r="K86" s="5"/>
      <c r="L86" s="5"/>
      <c r="M86" s="5"/>
      <c r="N86" s="5"/>
      <c r="O86" s="5"/>
      <c r="P86" s="5"/>
      <c r="Q86" s="5"/>
      <c r="R86" s="5"/>
      <c r="S86" s="5"/>
      <c r="T86" s="5"/>
      <c r="U86" s="5"/>
      <c r="V86" s="5"/>
      <c r="W86" s="2"/>
      <c r="X86" s="4"/>
    </row>
    <row r="87" spans="1:24" ht="12.75">
      <c r="A87" s="17"/>
      <c r="B87" s="5"/>
      <c r="C87" s="5"/>
      <c r="D87" s="5"/>
      <c r="E87" s="5"/>
      <c r="F87" s="5"/>
      <c r="G87" s="5"/>
      <c r="H87" s="5"/>
      <c r="I87" s="5"/>
      <c r="J87" s="5"/>
      <c r="K87" s="5"/>
      <c r="L87" s="5"/>
      <c r="M87" s="5"/>
      <c r="N87" s="5"/>
      <c r="O87" s="5"/>
      <c r="P87" s="5"/>
      <c r="Q87" s="5"/>
      <c r="R87" s="5"/>
      <c r="S87" s="5"/>
      <c r="T87" s="5"/>
      <c r="U87" s="5"/>
      <c r="V87" s="5"/>
      <c r="W87" s="2"/>
      <c r="X87" s="4"/>
    </row>
    <row r="88" spans="1:24" ht="12.75">
      <c r="A88" s="17"/>
      <c r="B88" s="5" t="s">
        <v>104</v>
      </c>
      <c r="C88" s="5"/>
      <c r="D88" s="5"/>
      <c r="E88" s="5"/>
      <c r="F88" s="5"/>
      <c r="G88" s="5"/>
      <c r="H88" s="5"/>
      <c r="I88" s="5"/>
      <c r="J88" s="5"/>
      <c r="K88" s="5"/>
      <c r="L88" s="5"/>
      <c r="M88" s="5"/>
      <c r="N88" s="5"/>
      <c r="O88" s="5"/>
      <c r="P88" s="5"/>
      <c r="Q88" s="5"/>
      <c r="R88" s="5"/>
      <c r="S88" s="5"/>
      <c r="T88" s="5"/>
      <c r="U88" s="5"/>
      <c r="V88" s="5"/>
      <c r="W88" s="2"/>
      <c r="X88" s="4"/>
    </row>
    <row r="89" spans="1:24" ht="12.75">
      <c r="A89" s="17"/>
      <c r="B89" s="5"/>
      <c r="C89" s="5"/>
      <c r="D89" s="5"/>
      <c r="E89" s="5"/>
      <c r="F89" s="5"/>
      <c r="G89" s="5"/>
      <c r="H89" s="5"/>
      <c r="I89" s="5"/>
      <c r="J89" s="5"/>
      <c r="K89" s="5"/>
      <c r="L89" s="5"/>
      <c r="M89" s="5"/>
      <c r="N89" s="5"/>
      <c r="O89" s="5"/>
      <c r="P89" s="5"/>
      <c r="Q89" s="5"/>
      <c r="R89" s="5"/>
      <c r="S89" s="5"/>
      <c r="T89" s="5"/>
      <c r="U89" s="5"/>
      <c r="V89" s="5"/>
      <c r="W89" s="2"/>
      <c r="X89" s="4"/>
    </row>
    <row r="90" spans="1:24" ht="12.75">
      <c r="A90" s="17"/>
      <c r="B90" s="2"/>
      <c r="C90" s="2"/>
      <c r="D90" s="2"/>
      <c r="E90" s="2"/>
      <c r="F90" s="232" t="s">
        <v>105</v>
      </c>
      <c r="G90" s="232"/>
      <c r="H90" s="232" t="s">
        <v>106</v>
      </c>
      <c r="I90" s="232"/>
      <c r="J90" s="232" t="s">
        <v>107</v>
      </c>
      <c r="K90" s="232"/>
      <c r="L90" s="232" t="s">
        <v>108</v>
      </c>
      <c r="M90" s="232"/>
      <c r="N90" s="2"/>
      <c r="O90" s="2"/>
      <c r="P90" s="2"/>
      <c r="Q90" s="25"/>
      <c r="R90" s="25"/>
      <c r="S90" s="25"/>
      <c r="T90" s="51"/>
      <c r="U90" s="51"/>
      <c r="V90" s="2"/>
      <c r="W90" s="2"/>
      <c r="X90" s="4"/>
    </row>
    <row r="91" spans="1:24" ht="12.75">
      <c r="A91" s="17"/>
      <c r="B91" s="2"/>
      <c r="C91" s="2"/>
      <c r="D91" s="2"/>
      <c r="E91" s="2"/>
      <c r="F91" s="233" t="s">
        <v>109</v>
      </c>
      <c r="G91" s="233"/>
      <c r="H91" s="233" t="s">
        <v>110</v>
      </c>
      <c r="I91" s="233"/>
      <c r="J91" s="233" t="s">
        <v>111</v>
      </c>
      <c r="K91" s="233"/>
      <c r="L91" s="233" t="s">
        <v>111</v>
      </c>
      <c r="M91" s="233"/>
      <c r="N91" s="19"/>
      <c r="O91" s="19"/>
      <c r="P91" s="19"/>
      <c r="Q91" s="52"/>
      <c r="R91" s="53"/>
      <c r="S91" s="53"/>
      <c r="T91" s="53"/>
      <c r="U91" s="2"/>
      <c r="V91" s="53"/>
      <c r="W91" s="2"/>
      <c r="X91" s="4"/>
    </row>
    <row r="92" spans="1:24" ht="12.75">
      <c r="A92" s="17"/>
      <c r="B92" s="2"/>
      <c r="C92" s="2"/>
      <c r="D92" s="2"/>
      <c r="E92" s="2"/>
      <c r="F92" s="229" t="s">
        <v>112</v>
      </c>
      <c r="G92" s="229"/>
      <c r="H92" s="229" t="s">
        <v>113</v>
      </c>
      <c r="I92" s="229"/>
      <c r="J92" s="229" t="s">
        <v>114</v>
      </c>
      <c r="K92" s="229"/>
      <c r="L92" s="229" t="s">
        <v>116</v>
      </c>
      <c r="M92" s="229"/>
      <c r="N92" s="2"/>
      <c r="O92" s="19"/>
      <c r="P92" s="2"/>
      <c r="Q92" s="13"/>
      <c r="R92" s="2"/>
      <c r="S92" s="54"/>
      <c r="T92" s="15"/>
      <c r="U92" s="54"/>
      <c r="V92" s="54"/>
      <c r="W92" s="2"/>
      <c r="X92" s="4"/>
    </row>
    <row r="93" spans="1:24" ht="12.75">
      <c r="A93" s="17"/>
      <c r="B93" s="55"/>
      <c r="C93" s="12"/>
      <c r="D93" s="18"/>
      <c r="E93" s="12"/>
      <c r="F93" s="228" t="s">
        <v>117</v>
      </c>
      <c r="G93" s="228"/>
      <c r="H93" s="229" t="s">
        <v>118</v>
      </c>
      <c r="I93" s="229"/>
      <c r="J93" s="230" t="s">
        <v>119</v>
      </c>
      <c r="K93" s="230"/>
      <c r="L93" s="229" t="s">
        <v>120</v>
      </c>
      <c r="M93" s="229"/>
      <c r="N93" s="3"/>
      <c r="O93" s="3"/>
      <c r="P93" s="55"/>
      <c r="Q93" s="3"/>
      <c r="R93" s="3"/>
      <c r="S93" s="3"/>
      <c r="T93" s="3"/>
      <c r="U93" s="56"/>
      <c r="V93" s="57"/>
      <c r="W93" s="2"/>
      <c r="X93" s="4"/>
    </row>
    <row r="94" spans="1:24" ht="12.75">
      <c r="A94" s="17"/>
      <c r="B94" s="55"/>
      <c r="C94" s="12"/>
      <c r="D94" s="18"/>
      <c r="E94" s="12"/>
      <c r="F94" s="231"/>
      <c r="G94" s="231"/>
      <c r="H94" s="229" t="s">
        <v>121</v>
      </c>
      <c r="I94" s="229"/>
      <c r="J94" s="230" t="s">
        <v>30</v>
      </c>
      <c r="K94" s="230"/>
      <c r="L94" s="229" t="s">
        <v>31</v>
      </c>
      <c r="M94" s="229"/>
      <c r="N94" s="2"/>
      <c r="O94" s="58"/>
      <c r="P94" s="59"/>
      <c r="Q94" s="2"/>
      <c r="R94" s="58"/>
      <c r="S94" s="2"/>
      <c r="T94" s="2"/>
      <c r="U94" s="2"/>
      <c r="V94" s="2"/>
      <c r="W94" s="2"/>
      <c r="X94" s="4"/>
    </row>
    <row r="95" spans="1:24" ht="12.75" customHeight="1">
      <c r="A95" s="17"/>
      <c r="B95" s="215" t="s">
        <v>32</v>
      </c>
      <c r="C95" s="215"/>
      <c r="D95" s="215"/>
      <c r="E95" s="215"/>
      <c r="F95" s="225">
        <v>0</v>
      </c>
      <c r="G95" s="225"/>
      <c r="H95" s="226" t="s">
        <v>33</v>
      </c>
      <c r="I95" s="226"/>
      <c r="J95" s="227"/>
      <c r="K95" s="227"/>
      <c r="L95" s="60"/>
      <c r="M95" s="61"/>
      <c r="N95" s="62"/>
      <c r="O95" s="62"/>
      <c r="P95" s="63"/>
      <c r="Q95" s="62"/>
      <c r="R95" s="62"/>
      <c r="S95" s="2"/>
      <c r="T95" s="2"/>
      <c r="U95" s="2"/>
      <c r="V95" s="2"/>
      <c r="W95" s="2"/>
      <c r="X95" s="4"/>
    </row>
    <row r="96" spans="1:24" ht="12.75" customHeight="1">
      <c r="A96" s="17"/>
      <c r="B96" s="217" t="s">
        <v>34</v>
      </c>
      <c r="C96" s="217"/>
      <c r="D96" s="217"/>
      <c r="E96" s="217"/>
      <c r="F96" s="222">
        <v>0</v>
      </c>
      <c r="G96" s="222"/>
      <c r="H96" s="223" t="str">
        <f>IF(F96&lt;&gt;0,INT((H100-H101)*F96/(F100-F101)),"-")</f>
        <v>-</v>
      </c>
      <c r="I96" s="223"/>
      <c r="J96" s="224">
        <v>0</v>
      </c>
      <c r="K96" s="224"/>
      <c r="L96" s="60"/>
      <c r="M96" s="64"/>
      <c r="N96" s="3"/>
      <c r="O96" s="3"/>
      <c r="P96" s="3"/>
      <c r="Q96" s="2"/>
      <c r="R96" s="3"/>
      <c r="S96" s="2"/>
      <c r="T96" s="2"/>
      <c r="U96" s="2"/>
      <c r="V96" s="2"/>
      <c r="W96" s="2"/>
      <c r="X96" s="4"/>
    </row>
    <row r="97" spans="1:24" ht="12.75" customHeight="1">
      <c r="A97" s="17"/>
      <c r="B97" s="217" t="s">
        <v>35</v>
      </c>
      <c r="C97" s="217"/>
      <c r="D97" s="217"/>
      <c r="E97" s="217"/>
      <c r="F97" s="222">
        <v>0</v>
      </c>
      <c r="G97" s="222"/>
      <c r="H97" s="223" t="str">
        <f>IF(F97&lt;&gt;0,INT((H100-H101)*F97/(F100-F101)),"-")</f>
        <v>-</v>
      </c>
      <c r="I97" s="223"/>
      <c r="J97" s="224">
        <v>0</v>
      </c>
      <c r="K97" s="224"/>
      <c r="L97" s="60"/>
      <c r="M97" s="65"/>
      <c r="N97" s="2"/>
      <c r="O97" s="2"/>
      <c r="P97" s="2"/>
      <c r="Q97" s="2"/>
      <c r="R97" s="2"/>
      <c r="S97" s="2"/>
      <c r="T97" s="2"/>
      <c r="U97" s="2"/>
      <c r="V97" s="2"/>
      <c r="W97" s="2"/>
      <c r="X97" s="4"/>
    </row>
    <row r="98" spans="1:24" ht="12.75" customHeight="1">
      <c r="A98" s="17"/>
      <c r="B98" s="217" t="s">
        <v>36</v>
      </c>
      <c r="C98" s="217"/>
      <c r="D98" s="217"/>
      <c r="E98" s="217"/>
      <c r="F98" s="222">
        <v>0</v>
      </c>
      <c r="G98" s="222"/>
      <c r="H98" s="223" t="str">
        <f>IF(F98*F95&lt;&gt;0,H101*F98/(F101+0.00001),"-")</f>
        <v>-</v>
      </c>
      <c r="I98" s="223"/>
      <c r="J98" s="26"/>
      <c r="K98" s="66"/>
      <c r="L98" s="60"/>
      <c r="M98" s="65"/>
      <c r="N98" s="2"/>
      <c r="O98" s="2"/>
      <c r="P98" s="2"/>
      <c r="Q98" s="2"/>
      <c r="R98" s="2"/>
      <c r="S98" s="2"/>
      <c r="T98" s="2"/>
      <c r="U98" s="2"/>
      <c r="V98" s="2"/>
      <c r="W98" s="2"/>
      <c r="X98" s="4"/>
    </row>
    <row r="99" spans="1:24" ht="12.75" customHeight="1">
      <c r="A99" s="17"/>
      <c r="B99" s="217" t="s">
        <v>37</v>
      </c>
      <c r="C99" s="217"/>
      <c r="D99" s="217"/>
      <c r="E99" s="217"/>
      <c r="F99" s="222">
        <v>0</v>
      </c>
      <c r="G99" s="222"/>
      <c r="H99" s="223" t="str">
        <f>IF(F99*F95&lt;&gt;0,H101*F99/(F101+0.00001),"-")</f>
        <v>-</v>
      </c>
      <c r="I99" s="223"/>
      <c r="J99" s="67"/>
      <c r="K99" s="68"/>
      <c r="L99" s="60"/>
      <c r="M99" s="65"/>
      <c r="N99" s="2"/>
      <c r="O99" s="2"/>
      <c r="P99" s="2"/>
      <c r="Q99" s="2"/>
      <c r="R99" s="2"/>
      <c r="S99" s="2"/>
      <c r="T99" s="2"/>
      <c r="U99" s="2"/>
      <c r="V99" s="2"/>
      <c r="W99" s="2"/>
      <c r="X99" s="4"/>
    </row>
    <row r="100" spans="1:24" ht="12.75" customHeight="1">
      <c r="A100" s="17"/>
      <c r="B100" s="217" t="s">
        <v>38</v>
      </c>
      <c r="C100" s="217"/>
      <c r="D100" s="217"/>
      <c r="E100" s="217"/>
      <c r="F100" s="218" t="str">
        <f>IF(F98+F99&lt;&gt;0,F98*0.14+F99*0.23,"-")</f>
        <v>-</v>
      </c>
      <c r="G100" s="218"/>
      <c r="H100" s="219">
        <v>0</v>
      </c>
      <c r="I100" s="219"/>
      <c r="J100" s="67"/>
      <c r="K100" s="68"/>
      <c r="L100" s="60"/>
      <c r="M100" s="65"/>
      <c r="N100" s="2"/>
      <c r="O100" s="2"/>
      <c r="P100" s="2"/>
      <c r="Q100" s="2"/>
      <c r="R100" s="2"/>
      <c r="S100" s="2"/>
      <c r="T100" s="2"/>
      <c r="U100" s="2"/>
      <c r="V100" s="2"/>
      <c r="W100" s="2"/>
      <c r="X100" s="4"/>
    </row>
    <row r="101" spans="1:24" ht="12.75" customHeight="1">
      <c r="A101" s="17"/>
      <c r="B101" s="217" t="s">
        <v>39</v>
      </c>
      <c r="C101" s="217"/>
      <c r="D101" s="217"/>
      <c r="E101" s="217"/>
      <c r="F101" s="218" t="str">
        <f>IF(F95&lt;&gt;0,F95*2.8,"-")</f>
        <v>-</v>
      </c>
      <c r="G101" s="218"/>
      <c r="H101" s="219">
        <v>0</v>
      </c>
      <c r="I101" s="219"/>
      <c r="J101" s="220" t="e">
        <f>H98+((J105*272.62+J104*232.79)/(J103+0.00001))</f>
        <v>#VALUE!</v>
      </c>
      <c r="K101" s="220"/>
      <c r="L101" s="69"/>
      <c r="M101" s="70"/>
      <c r="N101" s="2"/>
      <c r="O101" s="2"/>
      <c r="P101" s="2"/>
      <c r="Q101" s="2"/>
      <c r="R101" s="2"/>
      <c r="S101" s="2"/>
      <c r="T101" s="2"/>
      <c r="U101" s="2"/>
      <c r="V101" s="2"/>
      <c r="W101" s="2"/>
      <c r="X101" s="4"/>
    </row>
    <row r="102" spans="1:24" ht="12.75" customHeight="1">
      <c r="A102" s="17"/>
      <c r="B102" s="215" t="s">
        <v>40</v>
      </c>
      <c r="C102" s="215"/>
      <c r="D102" s="215"/>
      <c r="E102" s="215"/>
      <c r="F102" s="221" t="e">
        <f>IF(F101*(F98+F99)&lt;&gt;0,F101-(0.04*F98)-(0.033*F99),"-")</f>
        <v>#VALUE!</v>
      </c>
      <c r="G102" s="221"/>
      <c r="H102" s="218" t="str">
        <f>IF(F95&lt;&gt;0,H101-0.04*H98-0.033*H99,"-")</f>
        <v>-</v>
      </c>
      <c r="I102" s="218"/>
      <c r="J102" s="221" t="e">
        <f>IF(J101*F95&lt;&gt;0,H101-0.04*J101-0.033*H99,"-")</f>
        <v>#VALUE!</v>
      </c>
      <c r="K102" s="221"/>
      <c r="L102" s="214">
        <v>0</v>
      </c>
      <c r="M102" s="214"/>
      <c r="N102" s="2"/>
      <c r="O102" s="2"/>
      <c r="P102" s="2"/>
      <c r="Q102" s="2"/>
      <c r="R102" s="2"/>
      <c r="S102" s="2"/>
      <c r="T102" s="2"/>
      <c r="U102" s="2"/>
      <c r="V102" s="2"/>
      <c r="W102" s="2"/>
      <c r="X102" s="4"/>
    </row>
    <row r="103" spans="1:24" ht="12.75" customHeight="1">
      <c r="A103" s="17"/>
      <c r="B103" s="215" t="s">
        <v>41</v>
      </c>
      <c r="C103" s="215"/>
      <c r="D103" s="215"/>
      <c r="E103" s="215"/>
      <c r="F103" s="215"/>
      <c r="G103" s="215"/>
      <c r="H103" s="215"/>
      <c r="I103" s="215"/>
      <c r="J103" s="210">
        <v>0</v>
      </c>
      <c r="K103" s="210"/>
      <c r="L103" s="210"/>
      <c r="M103" s="210"/>
      <c r="N103" s="2"/>
      <c r="O103" s="2"/>
      <c r="P103" s="2"/>
      <c r="Q103" s="2"/>
      <c r="R103" s="2"/>
      <c r="S103" s="2"/>
      <c r="T103" s="2"/>
      <c r="U103" s="2"/>
      <c r="V103" s="2"/>
      <c r="W103" s="2"/>
      <c r="X103" s="4"/>
    </row>
    <row r="104" spans="1:24" ht="12.75" customHeight="1">
      <c r="A104" s="17"/>
      <c r="B104" s="212" t="s">
        <v>42</v>
      </c>
      <c r="C104" s="212"/>
      <c r="D104" s="212"/>
      <c r="E104" s="212"/>
      <c r="F104" s="212"/>
      <c r="G104" s="212"/>
      <c r="H104" s="212"/>
      <c r="I104" s="212"/>
      <c r="J104" s="216" t="e">
        <f>IF(J103&lt;&gt;"-",J103*(J96-H96)/557.93,"-")</f>
        <v>#VALUE!</v>
      </c>
      <c r="K104" s="216"/>
      <c r="L104" s="71"/>
      <c r="M104" s="72"/>
      <c r="N104" s="2"/>
      <c r="O104" s="2"/>
      <c r="P104" s="2"/>
      <c r="Q104" s="2"/>
      <c r="R104" s="2"/>
      <c r="S104" s="2"/>
      <c r="T104" s="2"/>
      <c r="U104" s="2"/>
      <c r="V104" s="2"/>
      <c r="W104" s="2"/>
      <c r="X104" s="4"/>
    </row>
    <row r="105" spans="1:24" ht="12.75" customHeight="1">
      <c r="A105" s="17"/>
      <c r="B105" s="212" t="s">
        <v>43</v>
      </c>
      <c r="C105" s="212"/>
      <c r="D105" s="212"/>
      <c r="E105" s="212"/>
      <c r="F105" s="212"/>
      <c r="G105" s="212"/>
      <c r="H105" s="212"/>
      <c r="I105" s="212"/>
      <c r="J105" s="216" t="e">
        <f>IF(J103&lt;&gt;"-",J103*(J97-H97)/482.29,"-")</f>
        <v>#VALUE!</v>
      </c>
      <c r="K105" s="216"/>
      <c r="L105" s="69"/>
      <c r="M105" s="70"/>
      <c r="N105" s="2"/>
      <c r="O105" s="2"/>
      <c r="P105" s="2"/>
      <c r="Q105" s="2"/>
      <c r="R105" s="2"/>
      <c r="S105" s="2"/>
      <c r="T105" s="2"/>
      <c r="U105" s="2"/>
      <c r="V105" s="2"/>
      <c r="W105" s="2"/>
      <c r="X105" s="4"/>
    </row>
    <row r="106" spans="1:24" ht="12.75" customHeight="1">
      <c r="A106" s="17"/>
      <c r="B106" s="212" t="s">
        <v>44</v>
      </c>
      <c r="C106" s="212"/>
      <c r="D106" s="212"/>
      <c r="E106" s="212"/>
      <c r="F106" s="212"/>
      <c r="G106" s="212"/>
      <c r="H106" s="212"/>
      <c r="I106" s="212"/>
      <c r="J106" s="212"/>
      <c r="K106" s="212"/>
      <c r="L106" s="213" t="str">
        <f>IF(J103*F95&lt;&gt;0,ROUND((J102-L102)*J103*0.0335,1),"0,0 ml")</f>
        <v>0,0 ml</v>
      </c>
      <c r="M106" s="213"/>
      <c r="N106" s="2"/>
      <c r="O106" s="2"/>
      <c r="P106" s="2"/>
      <c r="Q106" s="2"/>
      <c r="R106" s="2"/>
      <c r="S106" s="2"/>
      <c r="T106" s="2"/>
      <c r="U106" s="2"/>
      <c r="V106" s="2"/>
      <c r="W106" s="2"/>
      <c r="X106" s="4"/>
    </row>
    <row r="107" spans="1:24" ht="12.75">
      <c r="A107" s="17"/>
      <c r="B107" s="5"/>
      <c r="C107" s="5"/>
      <c r="D107" s="5"/>
      <c r="E107" s="5"/>
      <c r="F107" s="5"/>
      <c r="G107" s="5"/>
      <c r="H107" s="5"/>
      <c r="I107" s="5"/>
      <c r="J107" s="5"/>
      <c r="K107" s="5"/>
      <c r="L107" s="5"/>
      <c r="M107" s="5"/>
      <c r="N107" s="2"/>
      <c r="O107" s="2"/>
      <c r="P107" s="2"/>
      <c r="Q107" s="2"/>
      <c r="R107" s="2"/>
      <c r="S107" s="2"/>
      <c r="T107" s="2"/>
      <c r="U107" s="2"/>
      <c r="V107" s="2"/>
      <c r="W107" s="2"/>
      <c r="X107" s="4"/>
    </row>
    <row r="108" spans="1:24" ht="12.75">
      <c r="A108" s="17"/>
      <c r="B108" s="5"/>
      <c r="C108" s="5"/>
      <c r="D108" s="5"/>
      <c r="E108" s="5"/>
      <c r="F108" s="5"/>
      <c r="G108" s="5"/>
      <c r="H108" s="5"/>
      <c r="I108" s="5"/>
      <c r="J108" s="5"/>
      <c r="K108" s="5"/>
      <c r="L108" s="5"/>
      <c r="M108" s="5"/>
      <c r="N108" s="2"/>
      <c r="O108" s="2"/>
      <c r="P108" s="2"/>
      <c r="Q108" s="2"/>
      <c r="R108" s="2"/>
      <c r="S108" s="2"/>
      <c r="T108" s="2"/>
      <c r="U108" s="2"/>
      <c r="V108" s="2"/>
      <c r="W108" s="2"/>
      <c r="X108" s="4"/>
    </row>
    <row r="109" spans="1:24" ht="12.75">
      <c r="A109" s="17"/>
      <c r="B109" s="5"/>
      <c r="C109" s="5"/>
      <c r="D109" s="5"/>
      <c r="E109" s="5"/>
      <c r="F109" s="5"/>
      <c r="G109" s="5"/>
      <c r="H109" s="5"/>
      <c r="I109" s="5"/>
      <c r="J109" s="5"/>
      <c r="K109" s="5"/>
      <c r="L109" s="5"/>
      <c r="M109" s="5"/>
      <c r="N109" s="2"/>
      <c r="O109" s="2"/>
      <c r="P109" s="2"/>
      <c r="Q109" s="2"/>
      <c r="R109" s="2"/>
      <c r="S109" s="2"/>
      <c r="T109" s="2"/>
      <c r="U109" s="2"/>
      <c r="V109" s="2"/>
      <c r="W109" s="2"/>
      <c r="X109" s="4"/>
    </row>
    <row r="110" spans="1:24" ht="12.75">
      <c r="A110" s="17"/>
      <c r="B110" s="5" t="s">
        <v>45</v>
      </c>
      <c r="C110" s="5"/>
      <c r="D110" s="5"/>
      <c r="E110" s="5"/>
      <c r="F110" s="5"/>
      <c r="G110" s="5"/>
      <c r="H110" s="5"/>
      <c r="I110" s="5"/>
      <c r="J110" s="5"/>
      <c r="K110" s="5"/>
      <c r="L110" s="5"/>
      <c r="M110" s="5"/>
      <c r="N110" s="2"/>
      <c r="O110" s="2"/>
      <c r="P110" s="2"/>
      <c r="Q110" s="2"/>
      <c r="R110" s="2"/>
      <c r="S110" s="2"/>
      <c r="T110" s="2"/>
      <c r="U110" s="2"/>
      <c r="V110" s="2"/>
      <c r="W110" s="2"/>
      <c r="X110" s="4"/>
    </row>
    <row r="111" spans="1:24" ht="12.75">
      <c r="A111" s="17"/>
      <c r="B111" s="5"/>
      <c r="C111" s="5"/>
      <c r="D111" s="5"/>
      <c r="E111" s="5"/>
      <c r="F111" s="5"/>
      <c r="G111" s="5"/>
      <c r="H111" s="5"/>
      <c r="I111" s="5"/>
      <c r="J111" s="5"/>
      <c r="K111" s="5"/>
      <c r="L111" s="5"/>
      <c r="M111" s="5"/>
      <c r="N111" s="2"/>
      <c r="O111" s="2"/>
      <c r="P111" s="2"/>
      <c r="Q111" s="2"/>
      <c r="R111" s="2"/>
      <c r="S111" s="2"/>
      <c r="T111" s="2"/>
      <c r="U111" s="2"/>
      <c r="V111" s="2"/>
      <c r="W111" s="2"/>
      <c r="X111" s="4"/>
    </row>
    <row r="112" spans="1:24" ht="12.75">
      <c r="A112" s="17"/>
      <c r="B112" s="147" t="s">
        <v>46</v>
      </c>
      <c r="C112" s="147"/>
      <c r="D112" s="147"/>
      <c r="E112" s="147"/>
      <c r="F112" s="147"/>
      <c r="G112" s="210">
        <v>0</v>
      </c>
      <c r="H112" s="210"/>
      <c r="I112" s="2"/>
      <c r="J112" s="147" t="s">
        <v>47</v>
      </c>
      <c r="K112" s="147"/>
      <c r="L112" s="147"/>
      <c r="M112" s="147"/>
      <c r="N112" s="147"/>
      <c r="O112" s="210">
        <v>0</v>
      </c>
      <c r="P112" s="210"/>
      <c r="Q112" s="2"/>
      <c r="R112" s="147" t="s">
        <v>48</v>
      </c>
      <c r="S112" s="147"/>
      <c r="T112" s="147"/>
      <c r="U112" s="147"/>
      <c r="V112" s="210">
        <v>0</v>
      </c>
      <c r="W112" s="210"/>
      <c r="X112" s="4"/>
    </row>
    <row r="113" spans="1:24" ht="12.75">
      <c r="A113" s="17"/>
      <c r="B113" s="147" t="s">
        <v>49</v>
      </c>
      <c r="C113" s="147"/>
      <c r="D113" s="147"/>
      <c r="E113" s="147"/>
      <c r="F113" s="147"/>
      <c r="G113" s="211">
        <v>0</v>
      </c>
      <c r="H113" s="211"/>
      <c r="I113" s="2"/>
      <c r="J113" s="147" t="s">
        <v>49</v>
      </c>
      <c r="K113" s="147"/>
      <c r="L113" s="147"/>
      <c r="M113" s="147"/>
      <c r="N113" s="147"/>
      <c r="O113" s="211">
        <v>0</v>
      </c>
      <c r="P113" s="211"/>
      <c r="Q113" s="2"/>
      <c r="R113" s="147" t="s">
        <v>49</v>
      </c>
      <c r="S113" s="147"/>
      <c r="T113" s="147"/>
      <c r="U113" s="147"/>
      <c r="V113" s="211">
        <v>0</v>
      </c>
      <c r="W113" s="211"/>
      <c r="X113" s="4"/>
    </row>
    <row r="114" spans="1:24" ht="12.75">
      <c r="A114" s="17"/>
      <c r="B114" s="147" t="s">
        <v>50</v>
      </c>
      <c r="C114" s="147"/>
      <c r="D114" s="147"/>
      <c r="E114" s="147"/>
      <c r="F114" s="147"/>
      <c r="G114" s="209">
        <v>0</v>
      </c>
      <c r="H114" s="209"/>
      <c r="I114" s="2"/>
      <c r="J114" s="147" t="s">
        <v>50</v>
      </c>
      <c r="K114" s="147"/>
      <c r="L114" s="147"/>
      <c r="M114" s="147"/>
      <c r="N114" s="147"/>
      <c r="O114" s="209">
        <v>0</v>
      </c>
      <c r="P114" s="209"/>
      <c r="Q114" s="2"/>
      <c r="R114" s="147" t="s">
        <v>50</v>
      </c>
      <c r="S114" s="147"/>
      <c r="T114" s="147"/>
      <c r="U114" s="147"/>
      <c r="V114" s="209">
        <v>0</v>
      </c>
      <c r="W114" s="209"/>
      <c r="X114" s="4"/>
    </row>
    <row r="115" spans="1:24" ht="12.75">
      <c r="A115" s="17"/>
      <c r="B115" s="143" t="s">
        <v>51</v>
      </c>
      <c r="C115" s="143"/>
      <c r="D115" s="143"/>
      <c r="E115" s="143"/>
      <c r="F115" s="143"/>
      <c r="G115" s="196" t="str">
        <f>IF(G114&gt;0,(G112*G113*(1+(G113*4)/1000))/G114,"---")</f>
        <v>---</v>
      </c>
      <c r="H115" s="196"/>
      <c r="I115" s="2"/>
      <c r="J115" s="143" t="s">
        <v>52</v>
      </c>
      <c r="K115" s="143"/>
      <c r="L115" s="143"/>
      <c r="M115" s="143"/>
      <c r="N115" s="143"/>
      <c r="O115" s="196" t="str">
        <f>IF(O114&gt;0,(O112*0.96*O113*(1+(O113*4)/1000))/O114,"---")</f>
        <v>---</v>
      </c>
      <c r="P115" s="196"/>
      <c r="Q115" s="2"/>
      <c r="R115" s="143" t="s">
        <v>53</v>
      </c>
      <c r="S115" s="143"/>
      <c r="T115" s="143"/>
      <c r="U115" s="143"/>
      <c r="V115" s="196" t="str">
        <f>IF(V114&gt;0,(V112*V113*(1+(V113*4)/1000))/V114,"---")</f>
        <v>---</v>
      </c>
      <c r="W115" s="196"/>
      <c r="X115" s="4"/>
    </row>
    <row r="116" spans="1:24" ht="12.75">
      <c r="A116" s="17"/>
      <c r="B116" s="5"/>
      <c r="C116" s="5"/>
      <c r="D116" s="5"/>
      <c r="E116" s="5"/>
      <c r="F116" s="5"/>
      <c r="G116" s="5"/>
      <c r="H116" s="5"/>
      <c r="I116" s="5"/>
      <c r="J116" s="5"/>
      <c r="K116" s="5"/>
      <c r="L116" s="5"/>
      <c r="M116" s="5"/>
      <c r="N116" s="5"/>
      <c r="O116" s="5"/>
      <c r="P116" s="5"/>
      <c r="Q116" s="5"/>
      <c r="R116" s="5"/>
      <c r="S116" s="5"/>
      <c r="T116" s="5"/>
      <c r="U116" s="5"/>
      <c r="V116" s="5"/>
      <c r="W116" s="2"/>
      <c r="X116" s="4"/>
    </row>
    <row r="117" spans="1:24" ht="12.75">
      <c r="A117" s="17"/>
      <c r="B117" s="5"/>
      <c r="C117" s="5"/>
      <c r="D117" s="5"/>
      <c r="E117" s="5"/>
      <c r="F117" s="5"/>
      <c r="G117" s="5"/>
      <c r="H117" s="5"/>
      <c r="I117" s="5"/>
      <c r="J117" s="5"/>
      <c r="K117" s="5"/>
      <c r="L117" s="5"/>
      <c r="M117" s="5"/>
      <c r="N117" s="5"/>
      <c r="O117" s="5"/>
      <c r="P117" s="5"/>
      <c r="Q117" s="5"/>
      <c r="R117" s="5"/>
      <c r="S117" s="5"/>
      <c r="T117" s="5"/>
      <c r="U117" s="5"/>
      <c r="V117" s="5"/>
      <c r="W117" s="2"/>
      <c r="X117" s="4"/>
    </row>
    <row r="118" spans="1:24" ht="12.75">
      <c r="A118" s="17"/>
      <c r="B118" s="5"/>
      <c r="C118" s="5"/>
      <c r="D118" s="5"/>
      <c r="E118" s="5"/>
      <c r="F118" s="5"/>
      <c r="G118" s="5"/>
      <c r="H118" s="5"/>
      <c r="I118" s="5"/>
      <c r="J118" s="5"/>
      <c r="K118" s="5"/>
      <c r="L118" s="5"/>
      <c r="M118" s="5"/>
      <c r="N118" s="5"/>
      <c r="O118" s="5"/>
      <c r="P118" s="5"/>
      <c r="Q118" s="5"/>
      <c r="R118" s="5"/>
      <c r="S118" s="5"/>
      <c r="T118" s="5"/>
      <c r="U118" s="5"/>
      <c r="V118" s="5"/>
      <c r="W118" s="2"/>
      <c r="X118" s="4"/>
    </row>
    <row r="119" spans="1:24" ht="12.75">
      <c r="A119" s="17"/>
      <c r="B119" s="5" t="s">
        <v>54</v>
      </c>
      <c r="C119" s="5"/>
      <c r="D119" s="5"/>
      <c r="E119" s="5"/>
      <c r="F119" s="5"/>
      <c r="G119" s="5"/>
      <c r="H119" s="5"/>
      <c r="I119" s="5"/>
      <c r="J119" s="5"/>
      <c r="K119" s="5"/>
      <c r="L119" s="5"/>
      <c r="M119" s="5"/>
      <c r="N119" s="5"/>
      <c r="O119" s="5"/>
      <c r="P119" s="5"/>
      <c r="Q119" s="5"/>
      <c r="R119" s="5"/>
      <c r="S119" s="5"/>
      <c r="T119" s="5"/>
      <c r="U119" s="5"/>
      <c r="V119" s="5"/>
      <c r="W119" s="2"/>
      <c r="X119" s="4"/>
    </row>
    <row r="120" spans="1:24" ht="12.75">
      <c r="A120" s="17"/>
      <c r="B120" s="5"/>
      <c r="C120" s="5"/>
      <c r="D120" s="5"/>
      <c r="E120" s="5"/>
      <c r="F120" s="5"/>
      <c r="G120" s="5"/>
      <c r="H120" s="5"/>
      <c r="I120" s="5"/>
      <c r="J120" s="5"/>
      <c r="K120" s="5"/>
      <c r="L120" s="5"/>
      <c r="M120" s="5"/>
      <c r="N120" s="5"/>
      <c r="O120" s="5"/>
      <c r="P120" s="5"/>
      <c r="Q120" s="5"/>
      <c r="R120" s="5"/>
      <c r="S120" s="5"/>
      <c r="T120" s="5"/>
      <c r="U120" s="5"/>
      <c r="V120" s="5"/>
      <c r="W120" s="2"/>
      <c r="X120" s="4"/>
    </row>
    <row r="121" spans="1:24" ht="12.75">
      <c r="A121" s="17"/>
      <c r="B121" s="147" t="s">
        <v>219</v>
      </c>
      <c r="C121" s="147"/>
      <c r="D121" s="147"/>
      <c r="E121" s="147"/>
      <c r="F121" s="207">
        <v>0</v>
      </c>
      <c r="G121" s="207"/>
      <c r="H121" s="73">
        <f>(999.83952+1.6952577*10^1*F122+-7.9905127*10^-3*F122^2+-4.6241757*10^-5*F122^3+1.0584601*10^-7*F122^4+-2.813006*10^-10*F122^5)/(1+0.0168872*F122)</f>
        <v>999.83952</v>
      </c>
      <c r="I121" s="27"/>
      <c r="J121" s="5"/>
      <c r="K121" s="5"/>
      <c r="L121" s="5"/>
      <c r="M121" s="5"/>
      <c r="N121" s="5"/>
      <c r="O121" s="5"/>
      <c r="P121" s="5"/>
      <c r="Q121" s="5"/>
      <c r="R121" s="5"/>
      <c r="S121" s="5"/>
      <c r="T121" s="5"/>
      <c r="U121" s="5"/>
      <c r="V121" s="5"/>
      <c r="W121" s="2"/>
      <c r="X121" s="4"/>
    </row>
    <row r="122" spans="1:24" ht="12.75">
      <c r="A122" s="17"/>
      <c r="B122" s="147" t="s">
        <v>55</v>
      </c>
      <c r="C122" s="147"/>
      <c r="D122" s="147"/>
      <c r="E122" s="147"/>
      <c r="F122" s="208">
        <v>0</v>
      </c>
      <c r="G122" s="208"/>
      <c r="H122" s="27"/>
      <c r="I122" s="27"/>
      <c r="J122" s="5"/>
      <c r="K122" s="5"/>
      <c r="L122" s="5"/>
      <c r="M122" s="5"/>
      <c r="N122" s="5"/>
      <c r="O122" s="5"/>
      <c r="P122" s="5"/>
      <c r="Q122" s="5"/>
      <c r="R122" s="5"/>
      <c r="S122" s="5"/>
      <c r="T122" s="5"/>
      <c r="U122" s="5"/>
      <c r="V122" s="5"/>
      <c r="W122" s="2"/>
      <c r="X122" s="4"/>
    </row>
    <row r="123" spans="1:24" ht="12.75">
      <c r="A123" s="17"/>
      <c r="B123" s="143" t="s">
        <v>56</v>
      </c>
      <c r="C123" s="143"/>
      <c r="D123" s="143"/>
      <c r="E123" s="143"/>
      <c r="F123" s="203">
        <f>F121*H121/0.9982/1000</f>
        <v>0</v>
      </c>
      <c r="G123" s="203"/>
      <c r="H123" s="5"/>
      <c r="I123" s="27"/>
      <c r="J123" s="5"/>
      <c r="K123" s="5"/>
      <c r="L123" s="5"/>
      <c r="M123" s="5"/>
      <c r="N123" s="5"/>
      <c r="O123" s="5"/>
      <c r="P123" s="5"/>
      <c r="Q123" s="5"/>
      <c r="R123" s="5"/>
      <c r="S123" s="5"/>
      <c r="T123" s="5"/>
      <c r="U123" s="5"/>
      <c r="V123" s="5"/>
      <c r="W123" s="2"/>
      <c r="X123" s="4"/>
    </row>
    <row r="124" spans="1:24" ht="12.75">
      <c r="A124" s="17"/>
      <c r="B124" s="143" t="s">
        <v>57</v>
      </c>
      <c r="C124" s="143"/>
      <c r="D124" s="143"/>
      <c r="E124" s="143"/>
      <c r="F124" s="203">
        <f>(F121*0.75*H121/0.9982/1000)+(F121*0.25)</f>
        <v>0</v>
      </c>
      <c r="G124" s="203"/>
      <c r="H124" s="5"/>
      <c r="I124" s="5"/>
      <c r="J124" s="5"/>
      <c r="K124" s="5"/>
      <c r="L124" s="5"/>
      <c r="M124" s="204"/>
      <c r="N124" s="204"/>
      <c r="O124" s="204"/>
      <c r="P124" s="204"/>
      <c r="Q124" s="205"/>
      <c r="R124" s="205"/>
      <c r="S124" s="206"/>
      <c r="T124" s="206"/>
      <c r="U124" s="5"/>
      <c r="V124" s="5"/>
      <c r="W124" s="2"/>
      <c r="X124" s="4"/>
    </row>
    <row r="125" spans="1:24" ht="12.75">
      <c r="A125" s="17"/>
      <c r="B125" s="143" t="s">
        <v>58</v>
      </c>
      <c r="C125" s="143"/>
      <c r="D125" s="143"/>
      <c r="E125" s="143"/>
      <c r="F125" s="203">
        <f>(F121*0.85*H121/0.9982/1000)+(F121*0.15)</f>
        <v>0</v>
      </c>
      <c r="G125" s="203"/>
      <c r="H125" s="5"/>
      <c r="I125" s="5"/>
      <c r="J125" s="5"/>
      <c r="K125" s="5"/>
      <c r="L125" s="5"/>
      <c r="M125" s="27"/>
      <c r="N125" s="5"/>
      <c r="O125" s="5"/>
      <c r="P125" s="5"/>
      <c r="Q125" s="74"/>
      <c r="R125" s="5"/>
      <c r="S125" s="75"/>
      <c r="T125" s="5"/>
      <c r="U125" s="5"/>
      <c r="V125" s="5"/>
      <c r="W125" s="2"/>
      <c r="X125" s="4"/>
    </row>
    <row r="126" spans="1:24" ht="12.75">
      <c r="A126" s="17"/>
      <c r="B126" s="5"/>
      <c r="C126" s="5"/>
      <c r="D126" s="5"/>
      <c r="E126" s="5"/>
      <c r="F126" s="5"/>
      <c r="G126" s="5"/>
      <c r="H126" s="5"/>
      <c r="I126" s="5"/>
      <c r="J126" s="5"/>
      <c r="K126" s="5"/>
      <c r="L126" s="5"/>
      <c r="M126" s="27"/>
      <c r="N126" s="5"/>
      <c r="O126" s="5"/>
      <c r="P126" s="5"/>
      <c r="Q126" s="74"/>
      <c r="R126" s="5"/>
      <c r="S126" s="75"/>
      <c r="T126" s="5"/>
      <c r="U126" s="5"/>
      <c r="V126" s="5"/>
      <c r="W126" s="2"/>
      <c r="X126" s="4"/>
    </row>
    <row r="127" spans="1:24" ht="12.75">
      <c r="A127" s="17"/>
      <c r="B127" s="5"/>
      <c r="C127" s="5"/>
      <c r="D127" s="5"/>
      <c r="E127" s="5"/>
      <c r="F127" s="5"/>
      <c r="G127" s="5"/>
      <c r="H127" s="5"/>
      <c r="I127" s="5"/>
      <c r="J127" s="5"/>
      <c r="K127" s="5"/>
      <c r="L127" s="5"/>
      <c r="M127" s="27"/>
      <c r="N127" s="5"/>
      <c r="O127" s="5"/>
      <c r="P127" s="5"/>
      <c r="Q127" s="74"/>
      <c r="R127" s="5"/>
      <c r="S127" s="75"/>
      <c r="T127" s="5"/>
      <c r="U127" s="5"/>
      <c r="V127" s="5"/>
      <c r="W127" s="2"/>
      <c r="X127" s="4"/>
    </row>
    <row r="128" spans="1:24" ht="12.75">
      <c r="A128" s="17"/>
      <c r="B128" s="5"/>
      <c r="C128" s="5"/>
      <c r="D128" s="5"/>
      <c r="E128" s="5"/>
      <c r="F128" s="5"/>
      <c r="G128" s="5"/>
      <c r="H128" s="5"/>
      <c r="I128" s="5"/>
      <c r="J128" s="5"/>
      <c r="K128" s="5"/>
      <c r="L128" s="5"/>
      <c r="M128" s="27"/>
      <c r="N128" s="5"/>
      <c r="O128" s="5"/>
      <c r="P128" s="5"/>
      <c r="Q128" s="74"/>
      <c r="R128" s="5"/>
      <c r="S128" s="75"/>
      <c r="T128" s="5"/>
      <c r="U128" s="5"/>
      <c r="V128" s="5"/>
      <c r="W128" s="2"/>
      <c r="X128" s="4"/>
    </row>
    <row r="129" spans="1:24" ht="12.75">
      <c r="A129" s="17"/>
      <c r="B129" s="5" t="s">
        <v>122</v>
      </c>
      <c r="C129" s="5"/>
      <c r="D129" s="5"/>
      <c r="E129" s="5"/>
      <c r="F129" s="5"/>
      <c r="G129" s="5"/>
      <c r="H129" s="5"/>
      <c r="I129" s="5"/>
      <c r="J129" s="5"/>
      <c r="K129" s="5"/>
      <c r="L129" s="5"/>
      <c r="M129" s="27"/>
      <c r="N129" s="5"/>
      <c r="O129" s="5"/>
      <c r="P129" s="5"/>
      <c r="Q129" s="74"/>
      <c r="R129" s="5"/>
      <c r="S129" s="75"/>
      <c r="T129" s="5"/>
      <c r="U129" s="5"/>
      <c r="V129" s="5"/>
      <c r="W129" s="2"/>
      <c r="X129" s="4"/>
    </row>
    <row r="130" spans="1:24" ht="12.75">
      <c r="A130" s="17"/>
      <c r="B130" s="5"/>
      <c r="C130" s="5"/>
      <c r="D130" s="5"/>
      <c r="E130" s="5"/>
      <c r="F130" s="5"/>
      <c r="G130" s="5"/>
      <c r="H130" s="5"/>
      <c r="I130" s="5"/>
      <c r="J130" s="5"/>
      <c r="K130" s="5"/>
      <c r="L130" s="5"/>
      <c r="M130" s="27"/>
      <c r="N130" s="5"/>
      <c r="O130" s="5"/>
      <c r="P130" s="5"/>
      <c r="Q130" s="74"/>
      <c r="R130" s="5"/>
      <c r="S130" s="75"/>
      <c r="T130" s="5"/>
      <c r="U130" s="5"/>
      <c r="V130" s="5"/>
      <c r="W130" s="2"/>
      <c r="X130" s="4"/>
    </row>
    <row r="131" spans="1:24" ht="12.75">
      <c r="A131" s="17"/>
      <c r="B131" s="147" t="s">
        <v>123</v>
      </c>
      <c r="C131" s="147"/>
      <c r="D131" s="147"/>
      <c r="E131" s="147"/>
      <c r="F131" s="200">
        <v>0</v>
      </c>
      <c r="G131" s="200"/>
      <c r="H131" s="5"/>
      <c r="I131" s="5"/>
      <c r="J131" s="5"/>
      <c r="K131" s="5"/>
      <c r="L131" s="5"/>
      <c r="M131" s="27"/>
      <c r="N131" s="5"/>
      <c r="O131" s="5"/>
      <c r="P131" s="5"/>
      <c r="Q131" s="74"/>
      <c r="R131" s="5"/>
      <c r="S131" s="75"/>
      <c r="T131" s="5"/>
      <c r="U131" s="5"/>
      <c r="V131" s="5"/>
      <c r="W131" s="2"/>
      <c r="X131" s="4"/>
    </row>
    <row r="132" spans="1:24" ht="12.75">
      <c r="A132" s="17"/>
      <c r="B132" s="147" t="s">
        <v>124</v>
      </c>
      <c r="C132" s="147"/>
      <c r="D132" s="147"/>
      <c r="E132" s="147"/>
      <c r="F132" s="201">
        <v>0</v>
      </c>
      <c r="G132" s="201"/>
      <c r="H132" s="5"/>
      <c r="I132" s="5"/>
      <c r="J132" s="5"/>
      <c r="K132" s="5"/>
      <c r="L132" s="5"/>
      <c r="M132" s="27"/>
      <c r="N132" s="5"/>
      <c r="O132" s="5"/>
      <c r="P132" s="5"/>
      <c r="Q132" s="74"/>
      <c r="R132" s="5"/>
      <c r="S132" s="75"/>
      <c r="T132" s="5"/>
      <c r="U132" s="5"/>
      <c r="V132" s="5"/>
      <c r="W132" s="2"/>
      <c r="X132" s="4"/>
    </row>
    <row r="133" spans="1:24" ht="12.75">
      <c r="A133" s="17"/>
      <c r="B133" s="143" t="s">
        <v>125</v>
      </c>
      <c r="C133" s="143"/>
      <c r="D133" s="143"/>
      <c r="E133" s="143"/>
      <c r="F133" s="202">
        <f>F132/((F131/(258.6-((F131/258.2)*227.1))+1))</f>
        <v>0</v>
      </c>
      <c r="G133" s="202"/>
      <c r="H133" s="5"/>
      <c r="I133" s="5"/>
      <c r="J133" s="5"/>
      <c r="K133" s="5"/>
      <c r="L133" s="5"/>
      <c r="M133" s="27"/>
      <c r="N133" s="5"/>
      <c r="O133" s="5"/>
      <c r="P133" s="5"/>
      <c r="Q133" s="74"/>
      <c r="R133" s="5"/>
      <c r="S133" s="75"/>
      <c r="T133" s="5"/>
      <c r="U133" s="5"/>
      <c r="V133" s="5"/>
      <c r="W133" s="2"/>
      <c r="X133" s="4"/>
    </row>
    <row r="134" spans="1:24" ht="12.75">
      <c r="A134" s="17"/>
      <c r="B134" s="5"/>
      <c r="C134" s="5"/>
      <c r="D134" s="5"/>
      <c r="E134" s="5"/>
      <c r="F134" s="5"/>
      <c r="G134" s="5"/>
      <c r="H134" s="5"/>
      <c r="I134" s="5"/>
      <c r="J134" s="5"/>
      <c r="K134" s="5"/>
      <c r="L134" s="5"/>
      <c r="M134" s="27"/>
      <c r="N134" s="5"/>
      <c r="O134" s="5"/>
      <c r="P134" s="5"/>
      <c r="Q134" s="74"/>
      <c r="R134" s="5"/>
      <c r="S134" s="75"/>
      <c r="T134" s="5"/>
      <c r="U134" s="5"/>
      <c r="V134" s="5"/>
      <c r="W134" s="2"/>
      <c r="X134" s="4"/>
    </row>
    <row r="135" spans="1:24" ht="12.75">
      <c r="A135" s="17"/>
      <c r="B135" s="5"/>
      <c r="C135" s="5"/>
      <c r="D135" s="5"/>
      <c r="E135" s="5"/>
      <c r="F135" s="5"/>
      <c r="G135" s="5"/>
      <c r="H135" s="5"/>
      <c r="I135" s="5"/>
      <c r="J135" s="5"/>
      <c r="K135" s="5"/>
      <c r="L135" s="5"/>
      <c r="M135" s="27"/>
      <c r="N135" s="5"/>
      <c r="O135" s="5"/>
      <c r="P135" s="5"/>
      <c r="Q135" s="74"/>
      <c r="R135" s="5"/>
      <c r="S135" s="75"/>
      <c r="T135" s="5"/>
      <c r="U135" s="5"/>
      <c r="V135" s="5"/>
      <c r="W135" s="2"/>
      <c r="X135" s="4"/>
    </row>
    <row r="136" spans="1:24" ht="12.75">
      <c r="A136" s="17"/>
      <c r="B136" s="5"/>
      <c r="C136" s="5"/>
      <c r="D136" s="5"/>
      <c r="E136" s="5"/>
      <c r="F136" s="5"/>
      <c r="G136" s="5"/>
      <c r="H136" s="5"/>
      <c r="I136" s="5"/>
      <c r="J136" s="5"/>
      <c r="K136" s="5"/>
      <c r="L136" s="5"/>
      <c r="M136" s="27"/>
      <c r="N136" s="5"/>
      <c r="O136" s="5"/>
      <c r="P136" s="5"/>
      <c r="Q136" s="74"/>
      <c r="R136" s="5"/>
      <c r="S136" s="75"/>
      <c r="T136" s="5"/>
      <c r="U136" s="5"/>
      <c r="V136" s="5"/>
      <c r="W136" s="2"/>
      <c r="X136" s="4"/>
    </row>
    <row r="137" spans="1:24" ht="12.75">
      <c r="A137" s="17"/>
      <c r="B137" s="5" t="s">
        <v>126</v>
      </c>
      <c r="C137" s="5"/>
      <c r="D137" s="5"/>
      <c r="E137" s="5"/>
      <c r="F137" s="5"/>
      <c r="G137" s="5"/>
      <c r="H137" s="5"/>
      <c r="I137" s="5"/>
      <c r="J137" s="5"/>
      <c r="K137" s="5"/>
      <c r="L137" s="5"/>
      <c r="M137" s="27"/>
      <c r="N137" s="5"/>
      <c r="O137" s="5"/>
      <c r="P137" s="5"/>
      <c r="Q137" s="74"/>
      <c r="R137" s="5"/>
      <c r="S137" s="75"/>
      <c r="T137" s="5"/>
      <c r="U137" s="5"/>
      <c r="V137" s="5"/>
      <c r="W137" s="2"/>
      <c r="X137" s="4"/>
    </row>
    <row r="138" spans="1:24" ht="12.75">
      <c r="A138" s="17"/>
      <c r="B138" s="5"/>
      <c r="C138" s="5"/>
      <c r="D138" s="5"/>
      <c r="E138" s="5"/>
      <c r="F138" s="5"/>
      <c r="G138" s="5"/>
      <c r="H138" s="5"/>
      <c r="I138" s="5"/>
      <c r="J138" s="5"/>
      <c r="K138" s="5"/>
      <c r="L138" s="5"/>
      <c r="M138" s="27"/>
      <c r="N138" s="5"/>
      <c r="O138" s="5"/>
      <c r="P138" s="5"/>
      <c r="Q138" s="74"/>
      <c r="R138" s="5"/>
      <c r="S138" s="75"/>
      <c r="T138" s="5"/>
      <c r="U138" s="5"/>
      <c r="V138" s="5"/>
      <c r="W138" s="2"/>
      <c r="X138" s="4"/>
    </row>
    <row r="139" spans="1:24" ht="12.75">
      <c r="A139" s="17"/>
      <c r="B139" s="147" t="s">
        <v>127</v>
      </c>
      <c r="C139" s="147"/>
      <c r="D139" s="147"/>
      <c r="E139" s="147"/>
      <c r="F139" s="147"/>
      <c r="G139" s="147"/>
      <c r="H139" s="147"/>
      <c r="I139" s="182">
        <v>0</v>
      </c>
      <c r="J139" s="182"/>
      <c r="K139" s="183">
        <f>1+(I139/(258.6-((I139/258.2)*227.1)))</f>
        <v>1</v>
      </c>
      <c r="L139" s="183"/>
      <c r="M139" s="3"/>
      <c r="N139" s="3"/>
      <c r="O139" s="3"/>
      <c r="P139" s="3"/>
      <c r="Q139" s="76"/>
      <c r="R139" s="3"/>
      <c r="S139" s="77"/>
      <c r="T139" s="3"/>
      <c r="U139" s="3"/>
      <c r="V139" s="2"/>
      <c r="W139" s="2"/>
      <c r="X139" s="4"/>
    </row>
    <row r="140" spans="1:24" ht="12.75">
      <c r="A140" s="17"/>
      <c r="B140" s="3"/>
      <c r="C140" s="2"/>
      <c r="D140" s="2"/>
      <c r="E140" s="2"/>
      <c r="F140" s="2"/>
      <c r="G140" s="2"/>
      <c r="H140" s="2"/>
      <c r="I140" s="2"/>
      <c r="J140" s="2"/>
      <c r="K140" s="2"/>
      <c r="L140" s="2"/>
      <c r="M140" s="3"/>
      <c r="N140" s="2"/>
      <c r="O140" s="2"/>
      <c r="P140" s="2"/>
      <c r="Q140" s="76"/>
      <c r="R140" s="2"/>
      <c r="S140" s="77"/>
      <c r="T140" s="2"/>
      <c r="U140" s="3"/>
      <c r="V140" s="2"/>
      <c r="W140" s="2"/>
      <c r="X140" s="4"/>
    </row>
    <row r="141" spans="1:24" ht="12.75">
      <c r="A141" s="17"/>
      <c r="B141" s="197" t="s">
        <v>216</v>
      </c>
      <c r="C141" s="197"/>
      <c r="D141" s="197" t="s">
        <v>128</v>
      </c>
      <c r="E141" s="197"/>
      <c r="F141" s="197" t="s">
        <v>215</v>
      </c>
      <c r="G141" s="197"/>
      <c r="H141" s="199" t="s">
        <v>129</v>
      </c>
      <c r="I141" s="199"/>
      <c r="J141" s="197" t="s">
        <v>217</v>
      </c>
      <c r="K141" s="197"/>
      <c r="L141" s="197"/>
      <c r="M141" s="197" t="s">
        <v>130</v>
      </c>
      <c r="N141" s="197"/>
      <c r="O141" s="197"/>
      <c r="P141" s="197" t="s">
        <v>131</v>
      </c>
      <c r="Q141" s="197"/>
      <c r="R141" s="197"/>
      <c r="S141" s="198" t="s">
        <v>132</v>
      </c>
      <c r="T141" s="198"/>
      <c r="U141" s="198"/>
      <c r="V141" s="2"/>
      <c r="W141" s="2"/>
      <c r="X141" s="4"/>
    </row>
    <row r="142" spans="1:24" ht="12.75">
      <c r="A142" s="17"/>
      <c r="B142" s="172">
        <v>0</v>
      </c>
      <c r="C142" s="172"/>
      <c r="D142" s="171">
        <v>0</v>
      </c>
      <c r="E142" s="171"/>
      <c r="F142" s="195">
        <v>0</v>
      </c>
      <c r="G142" s="195"/>
      <c r="H142" s="196">
        <f>1.65*POWER(0.000125,K139-1)*(1-EXP(-0.04*F142))/4.15*100</f>
        <v>0</v>
      </c>
      <c r="I142" s="196"/>
      <c r="J142" s="193" t="str">
        <f>IF(I139*G146&lt;&gt;0,B142*D142*H142/G146/10,"-")</f>
        <v>-</v>
      </c>
      <c r="K142" s="193"/>
      <c r="L142" s="193"/>
      <c r="M142" s="193" t="str">
        <f>IF(I139*G146&lt;&gt;0,J142+(J142/10),"-")</f>
        <v>-</v>
      </c>
      <c r="N142" s="193"/>
      <c r="O142" s="193"/>
      <c r="P142" s="193" t="str">
        <f>IF(I139*G146&lt;&gt;0,J142+(J142/9),"-")</f>
        <v>-</v>
      </c>
      <c r="Q142" s="193"/>
      <c r="R142" s="193"/>
      <c r="S142" s="194">
        <v>0</v>
      </c>
      <c r="T142" s="194"/>
      <c r="U142" s="194"/>
      <c r="V142" s="2"/>
      <c r="W142" s="2"/>
      <c r="X142" s="4"/>
    </row>
    <row r="143" spans="1:24" ht="12.75">
      <c r="A143" s="17"/>
      <c r="B143" s="172">
        <v>0</v>
      </c>
      <c r="C143" s="172"/>
      <c r="D143" s="171">
        <v>0</v>
      </c>
      <c r="E143" s="171"/>
      <c r="F143" s="195">
        <v>0</v>
      </c>
      <c r="G143" s="195"/>
      <c r="H143" s="196">
        <f>1.65*POWER(0.000125,K139-1)*(1-EXP(-0.04*F143))/4.15*100</f>
        <v>0</v>
      </c>
      <c r="I143" s="196"/>
      <c r="J143" s="193" t="str">
        <f>IF(I139*G146&lt;&gt;0,B143*D143*H143/G146/10,"-")</f>
        <v>-</v>
      </c>
      <c r="K143" s="193"/>
      <c r="L143" s="193"/>
      <c r="M143" s="193" t="str">
        <f>IF(I139*G146&lt;&gt;0,J143+(J143/10),"-")</f>
        <v>-</v>
      </c>
      <c r="N143" s="193"/>
      <c r="O143" s="193"/>
      <c r="P143" s="193" t="str">
        <f>IF(I139*G146&lt;&gt;0,J143+(J143/9),"-")</f>
        <v>-</v>
      </c>
      <c r="Q143" s="193"/>
      <c r="R143" s="193"/>
      <c r="S143" s="194">
        <v>0</v>
      </c>
      <c r="T143" s="194"/>
      <c r="U143" s="194"/>
      <c r="V143" s="2"/>
      <c r="W143" s="2"/>
      <c r="X143" s="4"/>
    </row>
    <row r="144" spans="1:24" ht="12.75">
      <c r="A144" s="17"/>
      <c r="B144" s="172">
        <v>0</v>
      </c>
      <c r="C144" s="172"/>
      <c r="D144" s="171">
        <v>0</v>
      </c>
      <c r="E144" s="171"/>
      <c r="F144" s="195">
        <v>0</v>
      </c>
      <c r="G144" s="195"/>
      <c r="H144" s="196">
        <f>1.65*POWER(0.000125,K139-1)*(1-EXP(-0.04*F144))/4.15*100</f>
        <v>0</v>
      </c>
      <c r="I144" s="196"/>
      <c r="J144" s="193" t="str">
        <f>IF(I139*G146&lt;&gt;0,B144*D144*H144/G146/10,"-")</f>
        <v>-</v>
      </c>
      <c r="K144" s="193"/>
      <c r="L144" s="193"/>
      <c r="M144" s="193" t="str">
        <f>IF(I139*G146&lt;&gt;0,J144+(J144/10),"-")</f>
        <v>-</v>
      </c>
      <c r="N144" s="193"/>
      <c r="O144" s="193"/>
      <c r="P144" s="193" t="str">
        <f>IF(I139*G146&lt;&gt;0,J144+(J144/9),"-")</f>
        <v>-</v>
      </c>
      <c r="Q144" s="193"/>
      <c r="R144" s="193"/>
      <c r="S144" s="194">
        <v>0</v>
      </c>
      <c r="T144" s="194"/>
      <c r="U144" s="194"/>
      <c r="V144" s="2"/>
      <c r="W144" s="2"/>
      <c r="X144" s="4"/>
    </row>
    <row r="145" spans="1:24" ht="12.75">
      <c r="A145" s="17"/>
      <c r="B145" s="3"/>
      <c r="C145" s="2"/>
      <c r="D145" s="2"/>
      <c r="E145" s="2"/>
      <c r="F145" s="2"/>
      <c r="G145" s="2"/>
      <c r="H145" s="2"/>
      <c r="I145" s="2"/>
      <c r="J145" s="2"/>
      <c r="K145" s="188" t="s">
        <v>133</v>
      </c>
      <c r="L145" s="5"/>
      <c r="M145" s="27"/>
      <c r="N145" s="188" t="s">
        <v>133</v>
      </c>
      <c r="O145" s="5"/>
      <c r="P145" s="5"/>
      <c r="Q145" s="188" t="s">
        <v>133</v>
      </c>
      <c r="R145" s="2"/>
      <c r="S145" s="77"/>
      <c r="T145" s="2"/>
      <c r="U145" s="3"/>
      <c r="V145" s="2"/>
      <c r="W145" s="2"/>
      <c r="X145" s="4"/>
    </row>
    <row r="146" spans="1:24" ht="12.75">
      <c r="A146" s="17"/>
      <c r="B146" s="189" t="s">
        <v>134</v>
      </c>
      <c r="C146" s="189"/>
      <c r="D146" s="189"/>
      <c r="E146" s="189"/>
      <c r="F146" s="189"/>
      <c r="G146" s="184">
        <v>0</v>
      </c>
      <c r="H146" s="184"/>
      <c r="I146" s="2"/>
      <c r="J146" s="2"/>
      <c r="K146" s="188"/>
      <c r="L146" s="5"/>
      <c r="M146" s="27"/>
      <c r="N146" s="188"/>
      <c r="O146" s="5"/>
      <c r="P146" s="5"/>
      <c r="Q146" s="188"/>
      <c r="R146" s="2"/>
      <c r="S146" s="77"/>
      <c r="T146" s="2"/>
      <c r="U146" s="3"/>
      <c r="V146" s="2"/>
      <c r="W146" s="2"/>
      <c r="X146" s="4"/>
    </row>
    <row r="147" spans="1:24" ht="12.75">
      <c r="A147" s="17"/>
      <c r="B147" s="3"/>
      <c r="C147" s="2"/>
      <c r="D147" s="2"/>
      <c r="E147" s="2"/>
      <c r="F147" s="2"/>
      <c r="G147" s="2"/>
      <c r="H147" s="2"/>
      <c r="I147" s="2"/>
      <c r="J147" s="134" t="s">
        <v>217</v>
      </c>
      <c r="K147" s="134"/>
      <c r="L147" s="134"/>
      <c r="M147" s="134" t="s">
        <v>130</v>
      </c>
      <c r="N147" s="134"/>
      <c r="O147" s="134"/>
      <c r="P147" s="134" t="s">
        <v>131</v>
      </c>
      <c r="Q147" s="134"/>
      <c r="R147" s="134"/>
      <c r="S147" s="185" t="s">
        <v>132</v>
      </c>
      <c r="T147" s="185"/>
      <c r="U147" s="185"/>
      <c r="V147" s="2"/>
      <c r="W147" s="2"/>
      <c r="X147" s="4"/>
    </row>
    <row r="148" spans="1:24" ht="12.75">
      <c r="A148" s="17"/>
      <c r="B148" s="190" t="s">
        <v>135</v>
      </c>
      <c r="C148" s="190"/>
      <c r="D148" s="190"/>
      <c r="E148" s="190"/>
      <c r="F148" s="190"/>
      <c r="G148" s="190"/>
      <c r="H148" s="190"/>
      <c r="I148" s="190"/>
      <c r="J148" s="191" t="str">
        <f>IF(I139*G146&lt;&gt;0,SUM(J142,J143,J144),"-")</f>
        <v>-</v>
      </c>
      <c r="K148" s="191"/>
      <c r="L148" s="191"/>
      <c r="M148" s="191" t="str">
        <f>IF(106*G146&lt;&gt;0,SUM(M142,M143,M144),"-")</f>
        <v>-</v>
      </c>
      <c r="N148" s="191"/>
      <c r="O148" s="191"/>
      <c r="P148" s="191" t="str">
        <f>IF(I139*G146&lt;&gt;0,SUM(P142,P143,P144),"-")</f>
        <v>-</v>
      </c>
      <c r="Q148" s="191"/>
      <c r="R148" s="191"/>
      <c r="S148" s="192" t="str">
        <f>IF(I139*G146&lt;&gt;0,SUM(S142,S143,S144),"-")</f>
        <v>-</v>
      </c>
      <c r="T148" s="192"/>
      <c r="U148" s="192"/>
      <c r="V148" s="2"/>
      <c r="W148" s="2"/>
      <c r="X148" s="4"/>
    </row>
    <row r="149" spans="1:24" ht="12.75">
      <c r="A149" s="17"/>
      <c r="B149" s="3"/>
      <c r="C149" s="2"/>
      <c r="D149" s="2"/>
      <c r="E149" s="2"/>
      <c r="F149" s="2"/>
      <c r="G149" s="2"/>
      <c r="H149" s="2"/>
      <c r="I149" s="2"/>
      <c r="J149" s="34"/>
      <c r="K149" s="188" t="s">
        <v>133</v>
      </c>
      <c r="L149" s="29"/>
      <c r="M149" s="24"/>
      <c r="N149" s="188" t="s">
        <v>133</v>
      </c>
      <c r="O149" s="29"/>
      <c r="P149" s="29"/>
      <c r="Q149" s="188" t="s">
        <v>133</v>
      </c>
      <c r="R149" s="2"/>
      <c r="S149" s="77"/>
      <c r="T149" s="2"/>
      <c r="U149" s="3"/>
      <c r="V149" s="2"/>
      <c r="W149" s="2"/>
      <c r="X149" s="4"/>
    </row>
    <row r="150" spans="1:24" ht="12.75">
      <c r="A150" s="17"/>
      <c r="B150" s="189" t="s">
        <v>136</v>
      </c>
      <c r="C150" s="189"/>
      <c r="D150" s="189"/>
      <c r="E150" s="189"/>
      <c r="F150" s="182">
        <v>0</v>
      </c>
      <c r="G150" s="182"/>
      <c r="H150" s="2"/>
      <c r="I150" s="2"/>
      <c r="J150" s="2"/>
      <c r="K150" s="188"/>
      <c r="L150" s="29"/>
      <c r="M150" s="24"/>
      <c r="N150" s="188"/>
      <c r="O150" s="29"/>
      <c r="P150" s="79"/>
      <c r="Q150" s="188"/>
      <c r="R150" s="2"/>
      <c r="S150" s="77"/>
      <c r="T150" s="2"/>
      <c r="U150" s="3"/>
      <c r="V150" s="2"/>
      <c r="W150" s="2"/>
      <c r="X150" s="4"/>
    </row>
    <row r="151" spans="1:24" ht="12.75">
      <c r="A151" s="17"/>
      <c r="B151" s="3"/>
      <c r="C151" s="2"/>
      <c r="D151" s="2"/>
      <c r="E151" s="2"/>
      <c r="F151" s="2"/>
      <c r="G151" s="2"/>
      <c r="H151" s="2"/>
      <c r="I151" s="2"/>
      <c r="J151" s="134" t="s">
        <v>217</v>
      </c>
      <c r="K151" s="134"/>
      <c r="L151" s="134"/>
      <c r="M151" s="134" t="s">
        <v>130</v>
      </c>
      <c r="N151" s="134"/>
      <c r="O151" s="134"/>
      <c r="P151" s="134" t="s">
        <v>131</v>
      </c>
      <c r="Q151" s="134"/>
      <c r="R151" s="134"/>
      <c r="S151" s="185" t="s">
        <v>132</v>
      </c>
      <c r="T151" s="185"/>
      <c r="U151" s="185"/>
      <c r="V151" s="2"/>
      <c r="W151" s="2"/>
      <c r="X151" s="4"/>
    </row>
    <row r="152" spans="1:24" ht="12.75">
      <c r="A152" s="17"/>
      <c r="B152" s="154" t="s">
        <v>137</v>
      </c>
      <c r="C152" s="154"/>
      <c r="D152" s="154"/>
      <c r="E152" s="154"/>
      <c r="F152" s="154"/>
      <c r="G152" s="154"/>
      <c r="H152" s="154"/>
      <c r="I152" s="154"/>
      <c r="J152" s="186" t="str">
        <f>IF(F150*F150*I139*G146&lt;&gt;0,J148*F150/I139,"-")</f>
        <v>-</v>
      </c>
      <c r="K152" s="186" t="e">
        <f>K148/"G#REF!*G112"</f>
        <v>#VALUE!</v>
      </c>
      <c r="L152" s="186" t="e">
        <f>L148/"H#REF!*H112"</f>
        <v>#VALUE!</v>
      </c>
      <c r="M152" s="186" t="str">
        <f>IF(F150*F150*I139*G146&lt;&gt;0,M148*F150/I139,"-")</f>
        <v>-</v>
      </c>
      <c r="N152" s="186"/>
      <c r="O152" s="186"/>
      <c r="P152" s="186" t="str">
        <f>IF(F150*F150*I139*G146&lt;&gt;0,P148*F150/I139,"-")</f>
        <v>-</v>
      </c>
      <c r="Q152" s="186"/>
      <c r="R152" s="186"/>
      <c r="S152" s="187" t="str">
        <f>IF(F150*F150*I139*G146&lt;&gt;0,S148*F150/I139,"-")</f>
        <v>-</v>
      </c>
      <c r="T152" s="187"/>
      <c r="U152" s="187"/>
      <c r="V152" s="2"/>
      <c r="W152" s="2"/>
      <c r="X152" s="4"/>
    </row>
    <row r="153" spans="1:24" ht="12.75" customHeight="1">
      <c r="A153" s="17"/>
      <c r="B153" s="5"/>
      <c r="C153" s="5"/>
      <c r="D153" s="5"/>
      <c r="E153" s="5"/>
      <c r="F153" s="5"/>
      <c r="G153" s="5"/>
      <c r="H153" s="5"/>
      <c r="I153" s="5"/>
      <c r="J153" s="27"/>
      <c r="K153" s="5"/>
      <c r="L153" s="5"/>
      <c r="M153" s="27"/>
      <c r="N153" s="5"/>
      <c r="O153" s="5"/>
      <c r="P153" s="5"/>
      <c r="Q153" s="74"/>
      <c r="R153" s="5"/>
      <c r="S153" s="75"/>
      <c r="T153" s="5"/>
      <c r="U153" s="5"/>
      <c r="V153" s="2"/>
      <c r="W153" s="2"/>
      <c r="X153" s="4"/>
    </row>
    <row r="154" spans="1:24" ht="12.75" customHeight="1">
      <c r="A154" s="17"/>
      <c r="B154" s="5"/>
      <c r="C154" s="5"/>
      <c r="D154" s="5"/>
      <c r="E154" s="5"/>
      <c r="F154" s="5"/>
      <c r="G154" s="5"/>
      <c r="H154" s="5"/>
      <c r="I154" s="5"/>
      <c r="J154" s="27"/>
      <c r="K154" s="5"/>
      <c r="L154" s="5"/>
      <c r="M154" s="27"/>
      <c r="N154" s="5"/>
      <c r="O154" s="5"/>
      <c r="P154" s="5"/>
      <c r="Q154" s="74"/>
      <c r="R154" s="5"/>
      <c r="S154" s="75"/>
      <c r="T154" s="5"/>
      <c r="U154" s="5"/>
      <c r="V154" s="2"/>
      <c r="W154" s="2"/>
      <c r="X154" s="4"/>
    </row>
    <row r="155" spans="1:24" ht="12.75" customHeight="1">
      <c r="A155" s="17"/>
      <c r="B155" s="5"/>
      <c r="C155" s="5"/>
      <c r="D155" s="5"/>
      <c r="E155" s="5"/>
      <c r="F155" s="5"/>
      <c r="G155" s="5"/>
      <c r="H155" s="5"/>
      <c r="I155" s="5"/>
      <c r="J155" s="27"/>
      <c r="K155" s="5"/>
      <c r="L155" s="5"/>
      <c r="M155" s="27"/>
      <c r="N155" s="5"/>
      <c r="O155" s="5"/>
      <c r="P155" s="5"/>
      <c r="Q155" s="74"/>
      <c r="R155" s="5"/>
      <c r="S155" s="75"/>
      <c r="T155" s="5"/>
      <c r="U155" s="5"/>
      <c r="V155" s="2"/>
      <c r="W155" s="2"/>
      <c r="X155" s="4"/>
    </row>
    <row r="156" spans="1:24" ht="12.75" customHeight="1">
      <c r="A156" s="17"/>
      <c r="B156" s="5" t="s">
        <v>138</v>
      </c>
      <c r="C156" s="5"/>
      <c r="D156" s="5"/>
      <c r="E156" s="5"/>
      <c r="F156" s="5"/>
      <c r="G156" s="5"/>
      <c r="H156" s="5"/>
      <c r="I156" s="5"/>
      <c r="J156" s="27"/>
      <c r="K156" s="5"/>
      <c r="L156" s="5"/>
      <c r="M156" s="27"/>
      <c r="N156" s="5"/>
      <c r="O156" s="5"/>
      <c r="P156" s="5"/>
      <c r="Q156" s="74"/>
      <c r="R156" s="5"/>
      <c r="S156" s="75"/>
      <c r="T156" s="5"/>
      <c r="U156" s="5"/>
      <c r="V156" s="2"/>
      <c r="W156" s="2"/>
      <c r="X156" s="4"/>
    </row>
    <row r="157" spans="1:24" ht="12.75" customHeight="1">
      <c r="A157" s="17"/>
      <c r="B157" s="5"/>
      <c r="C157" s="5"/>
      <c r="D157" s="5"/>
      <c r="E157" s="5"/>
      <c r="F157" s="5"/>
      <c r="G157" s="5"/>
      <c r="H157" s="5"/>
      <c r="I157" s="5"/>
      <c r="J157" s="27"/>
      <c r="K157" s="5"/>
      <c r="L157" s="5"/>
      <c r="M157" s="27"/>
      <c r="N157" s="5"/>
      <c r="O157" s="5"/>
      <c r="P157" s="5"/>
      <c r="Q157" s="74"/>
      <c r="R157" s="5"/>
      <c r="S157" s="75"/>
      <c r="T157" s="5"/>
      <c r="U157" s="5"/>
      <c r="V157" s="2"/>
      <c r="W157" s="2"/>
      <c r="X157" s="4"/>
    </row>
    <row r="158" spans="1:24" ht="12.75" customHeight="1">
      <c r="A158" s="17"/>
      <c r="B158" s="147" t="s">
        <v>127</v>
      </c>
      <c r="C158" s="147"/>
      <c r="D158" s="147"/>
      <c r="E158" s="147"/>
      <c r="F158" s="147"/>
      <c r="G158" s="147"/>
      <c r="H158" s="147"/>
      <c r="I158" s="182">
        <v>0</v>
      </c>
      <c r="J158" s="182"/>
      <c r="K158" s="183">
        <f>1+(I158/(258.6-((I158/258.2)*227.1)))</f>
        <v>1</v>
      </c>
      <c r="L158" s="183"/>
      <c r="M158" s="3"/>
      <c r="N158" s="3"/>
      <c r="O158" s="3"/>
      <c r="P158" s="3"/>
      <c r="Q158" s="76"/>
      <c r="R158" s="3"/>
      <c r="S158" s="77"/>
      <c r="T158" s="3"/>
      <c r="U158" s="3"/>
      <c r="V158" s="3"/>
      <c r="W158" s="3"/>
      <c r="X158" s="4"/>
    </row>
    <row r="159" spans="1:24" ht="12.75" customHeight="1">
      <c r="A159" s="17"/>
      <c r="B159" s="147" t="s">
        <v>134</v>
      </c>
      <c r="C159" s="147"/>
      <c r="D159" s="147"/>
      <c r="E159" s="147"/>
      <c r="F159" s="147"/>
      <c r="G159" s="147"/>
      <c r="H159" s="147"/>
      <c r="I159" s="184">
        <v>0</v>
      </c>
      <c r="J159" s="184"/>
      <c r="K159" s="2"/>
      <c r="L159" s="2"/>
      <c r="M159" s="2"/>
      <c r="N159" s="2"/>
      <c r="O159" s="2"/>
      <c r="P159" s="2"/>
      <c r="Q159" s="76"/>
      <c r="R159" s="2"/>
      <c r="S159" s="77"/>
      <c r="T159" s="2"/>
      <c r="U159" s="2"/>
      <c r="V159" s="2"/>
      <c r="W159" s="3"/>
      <c r="X159" s="4"/>
    </row>
    <row r="160" spans="1:24" ht="12.75" customHeight="1">
      <c r="A160" s="17"/>
      <c r="B160" s="3"/>
      <c r="C160" s="2"/>
      <c r="D160" s="2"/>
      <c r="E160" s="2"/>
      <c r="F160" s="2"/>
      <c r="G160" s="16"/>
      <c r="H160" s="16"/>
      <c r="I160" s="2"/>
      <c r="J160" s="3"/>
      <c r="K160" s="2"/>
      <c r="L160" s="2"/>
      <c r="M160" s="2"/>
      <c r="N160" s="2"/>
      <c r="O160" s="2"/>
      <c r="P160" s="2"/>
      <c r="Q160" s="76"/>
      <c r="R160" s="2"/>
      <c r="S160" s="77"/>
      <c r="T160" s="2"/>
      <c r="U160" s="2"/>
      <c r="V160" s="2"/>
      <c r="W160" s="3"/>
      <c r="X160" s="4"/>
    </row>
    <row r="161" spans="1:24" ht="12.75" customHeight="1">
      <c r="A161" s="17"/>
      <c r="B161" s="3"/>
      <c r="C161" s="2"/>
      <c r="D161" s="134" t="s">
        <v>139</v>
      </c>
      <c r="E161" s="134"/>
      <c r="F161" s="134"/>
      <c r="G161" s="134" t="s">
        <v>215</v>
      </c>
      <c r="H161" s="134"/>
      <c r="I161" s="134"/>
      <c r="J161" s="134" t="s">
        <v>140</v>
      </c>
      <c r="K161" s="134"/>
      <c r="L161" s="134"/>
      <c r="M161" s="134" t="s">
        <v>141</v>
      </c>
      <c r="N161" s="134"/>
      <c r="O161" s="134"/>
      <c r="P161" s="134" t="s">
        <v>142</v>
      </c>
      <c r="Q161" s="134"/>
      <c r="R161" s="134"/>
      <c r="S161" s="134" t="s">
        <v>143</v>
      </c>
      <c r="T161" s="134"/>
      <c r="U161" s="134"/>
      <c r="V161" s="181" t="s">
        <v>129</v>
      </c>
      <c r="W161" s="181"/>
      <c r="X161" s="4"/>
    </row>
    <row r="162" spans="1:24" ht="12.75" customHeight="1">
      <c r="A162" s="17"/>
      <c r="B162" s="151" t="s">
        <v>144</v>
      </c>
      <c r="C162" s="151"/>
      <c r="D162" s="171">
        <v>0</v>
      </c>
      <c r="E162" s="171"/>
      <c r="F162" s="171"/>
      <c r="G162" s="179">
        <v>0</v>
      </c>
      <c r="H162" s="179"/>
      <c r="I162" s="179"/>
      <c r="J162" s="180">
        <v>0</v>
      </c>
      <c r="K162" s="180"/>
      <c r="L162" s="180"/>
      <c r="M162" s="175" t="e">
        <f>J162*I159*10/D162/V162</f>
        <v>#DIV/0!</v>
      </c>
      <c r="N162" s="175"/>
      <c r="O162" s="175"/>
      <c r="P162" s="175" t="e">
        <f>(J162-(J162/10))*I159*10/D162/V162</f>
        <v>#DIV/0!</v>
      </c>
      <c r="Q162" s="175"/>
      <c r="R162" s="175"/>
      <c r="S162" s="175" t="e">
        <f>(J162-(J162/9))*I159*10/D162/V162</f>
        <v>#DIV/0!</v>
      </c>
      <c r="T162" s="175"/>
      <c r="U162" s="175"/>
      <c r="V162" s="176">
        <f>1.65*POWER(0.000125,K158-1)*(1-EXP(-0.04*G162))/4.15*100</f>
        <v>0</v>
      </c>
      <c r="W162" s="176"/>
      <c r="X162" s="4"/>
    </row>
    <row r="163" spans="1:24" ht="12.75" customHeight="1">
      <c r="A163" s="17"/>
      <c r="B163" s="151" t="s">
        <v>145</v>
      </c>
      <c r="C163" s="151"/>
      <c r="D163" s="171">
        <v>0</v>
      </c>
      <c r="E163" s="171"/>
      <c r="F163" s="171"/>
      <c r="G163" s="179">
        <v>0</v>
      </c>
      <c r="H163" s="179"/>
      <c r="I163" s="179"/>
      <c r="J163" s="180">
        <v>0</v>
      </c>
      <c r="K163" s="180"/>
      <c r="L163" s="180"/>
      <c r="M163" s="175" t="e">
        <f>J163*I159*10/D163/V163</f>
        <v>#DIV/0!</v>
      </c>
      <c r="N163" s="175"/>
      <c r="O163" s="175"/>
      <c r="P163" s="175" t="e">
        <f>(J163-(J163/10))*I159*10/D163/V163</f>
        <v>#DIV/0!</v>
      </c>
      <c r="Q163" s="175"/>
      <c r="R163" s="175"/>
      <c r="S163" s="175" t="e">
        <f>(J163-(J163/9))*I159*10/D163/V163</f>
        <v>#DIV/0!</v>
      </c>
      <c r="T163" s="175"/>
      <c r="U163" s="175"/>
      <c r="V163" s="176">
        <f>1.65*POWER(0.000125,K158-1)*(1-EXP(-0.04*G163))/4.15*100</f>
        <v>0</v>
      </c>
      <c r="W163" s="176"/>
      <c r="X163" s="4"/>
    </row>
    <row r="164" spans="1:24" ht="12.75" customHeight="1">
      <c r="A164" s="17"/>
      <c r="B164" s="178" t="s">
        <v>146</v>
      </c>
      <c r="C164" s="178"/>
      <c r="D164" s="171">
        <v>0</v>
      </c>
      <c r="E164" s="171"/>
      <c r="F164" s="171"/>
      <c r="G164" s="179">
        <v>0</v>
      </c>
      <c r="H164" s="179"/>
      <c r="I164" s="179"/>
      <c r="J164" s="180">
        <v>0</v>
      </c>
      <c r="K164" s="180"/>
      <c r="L164" s="180"/>
      <c r="M164" s="175" t="e">
        <f>J164*I159*10/D164/V164</f>
        <v>#DIV/0!</v>
      </c>
      <c r="N164" s="175"/>
      <c r="O164" s="175"/>
      <c r="P164" s="175" t="e">
        <f>(J164-(J164/10))*I159*10/D164/V164</f>
        <v>#DIV/0!</v>
      </c>
      <c r="Q164" s="175"/>
      <c r="R164" s="175"/>
      <c r="S164" s="175" t="e">
        <f>(J164-(J164/9))*I159*10/D164/V164</f>
        <v>#DIV/0!</v>
      </c>
      <c r="T164" s="175"/>
      <c r="U164" s="175"/>
      <c r="V164" s="176">
        <f>1.65*POWER(0.000125,K158-1)*(1-EXP(-0.04*G164))/4.15*100</f>
        <v>0</v>
      </c>
      <c r="W164" s="176"/>
      <c r="X164" s="4"/>
    </row>
    <row r="165" spans="1:24" ht="12.75" customHeight="1">
      <c r="A165" s="17"/>
      <c r="B165" s="154" t="s">
        <v>135</v>
      </c>
      <c r="C165" s="154"/>
      <c r="D165" s="154"/>
      <c r="E165" s="154"/>
      <c r="F165" s="154"/>
      <c r="G165" s="154"/>
      <c r="H165" s="154"/>
      <c r="I165" s="154"/>
      <c r="J165" s="177">
        <f>SUM(J162:J164)</f>
        <v>0</v>
      </c>
      <c r="K165" s="177"/>
      <c r="L165" s="177"/>
      <c r="M165" s="3"/>
      <c r="N165" s="3"/>
      <c r="O165" s="3"/>
      <c r="P165" s="3"/>
      <c r="Q165" s="76"/>
      <c r="R165" s="3"/>
      <c r="S165" s="77"/>
      <c r="T165" s="3"/>
      <c r="U165" s="3"/>
      <c r="V165" s="3"/>
      <c r="W165" s="3"/>
      <c r="X165" s="4"/>
    </row>
    <row r="166" spans="1:24" ht="12.75" customHeight="1">
      <c r="A166" s="17"/>
      <c r="B166" s="5"/>
      <c r="C166" s="5"/>
      <c r="D166" s="5"/>
      <c r="E166" s="5"/>
      <c r="F166" s="5"/>
      <c r="G166" s="5"/>
      <c r="H166" s="5"/>
      <c r="I166" s="5"/>
      <c r="J166" s="27"/>
      <c r="K166" s="5"/>
      <c r="L166" s="5"/>
      <c r="M166" s="27"/>
      <c r="N166" s="5"/>
      <c r="O166" s="5"/>
      <c r="P166" s="5"/>
      <c r="Q166" s="74"/>
      <c r="R166" s="5"/>
      <c r="S166" s="75"/>
      <c r="T166" s="5"/>
      <c r="U166" s="5"/>
      <c r="V166" s="5"/>
      <c r="W166" s="2"/>
      <c r="X166" s="4"/>
    </row>
    <row r="167" spans="1:24" ht="12.75" customHeight="1">
      <c r="A167" s="17"/>
      <c r="B167" s="5"/>
      <c r="C167" s="5"/>
      <c r="D167" s="5"/>
      <c r="E167" s="5"/>
      <c r="F167" s="5"/>
      <c r="G167" s="5"/>
      <c r="H167" s="5"/>
      <c r="I167" s="5"/>
      <c r="J167" s="27"/>
      <c r="K167" s="5"/>
      <c r="L167" s="5"/>
      <c r="M167" s="27"/>
      <c r="N167" s="5"/>
      <c r="O167" s="5"/>
      <c r="P167" s="5"/>
      <c r="Q167" s="74"/>
      <c r="R167" s="5"/>
      <c r="S167" s="75"/>
      <c r="T167" s="5"/>
      <c r="U167" s="5"/>
      <c r="V167" s="5"/>
      <c r="W167" s="2"/>
      <c r="X167" s="4"/>
    </row>
    <row r="168" spans="1:24" ht="12.75" customHeight="1">
      <c r="A168" s="17"/>
      <c r="B168" s="5"/>
      <c r="C168" s="5"/>
      <c r="D168" s="5"/>
      <c r="E168" s="5"/>
      <c r="F168" s="5"/>
      <c r="G168" s="5"/>
      <c r="H168" s="5"/>
      <c r="I168" s="5"/>
      <c r="J168" s="27"/>
      <c r="K168" s="5"/>
      <c r="L168" s="5"/>
      <c r="M168" s="27"/>
      <c r="N168" s="5"/>
      <c r="O168" s="5"/>
      <c r="P168" s="5"/>
      <c r="Q168" s="74"/>
      <c r="R168" s="5"/>
      <c r="S168" s="75"/>
      <c r="T168" s="5"/>
      <c r="U168" s="5"/>
      <c r="V168" s="5"/>
      <c r="W168" s="2"/>
      <c r="X168" s="4"/>
    </row>
    <row r="169" spans="1:24" ht="12.75" customHeight="1">
      <c r="A169" s="17"/>
      <c r="B169" s="5" t="s">
        <v>147</v>
      </c>
      <c r="C169" s="5"/>
      <c r="D169" s="5"/>
      <c r="E169" s="5"/>
      <c r="F169" s="5"/>
      <c r="G169" s="5"/>
      <c r="H169" s="5"/>
      <c r="I169" s="5"/>
      <c r="J169" s="27"/>
      <c r="K169" s="5"/>
      <c r="L169" s="5"/>
      <c r="M169" s="27"/>
      <c r="N169" s="5"/>
      <c r="O169" s="5"/>
      <c r="P169" s="5"/>
      <c r="Q169" s="74"/>
      <c r="R169" s="5"/>
      <c r="S169" s="75"/>
      <c r="T169" s="5"/>
      <c r="U169" s="5"/>
      <c r="V169" s="5"/>
      <c r="W169" s="2"/>
      <c r="X169" s="4"/>
    </row>
    <row r="170" spans="1:24" ht="12.75" customHeight="1">
      <c r="A170" s="17"/>
      <c r="B170" s="5"/>
      <c r="C170" s="5"/>
      <c r="D170" s="5"/>
      <c r="E170" s="5"/>
      <c r="F170" s="5"/>
      <c r="G170" s="5"/>
      <c r="H170" s="5"/>
      <c r="I170" s="5"/>
      <c r="J170" s="27"/>
      <c r="K170" s="5"/>
      <c r="L170" s="5"/>
      <c r="M170" s="27"/>
      <c r="N170" s="5"/>
      <c r="O170" s="5"/>
      <c r="P170" s="5"/>
      <c r="Q170" s="74"/>
      <c r="R170" s="5"/>
      <c r="S170" s="75"/>
      <c r="T170" s="5"/>
      <c r="U170" s="5"/>
      <c r="V170" s="5"/>
      <c r="W170" s="2"/>
      <c r="X170" s="4"/>
    </row>
    <row r="171" spans="1:24" ht="12.75" customHeight="1">
      <c r="A171" s="17"/>
      <c r="B171" s="2"/>
      <c r="C171" s="2"/>
      <c r="D171" s="2"/>
      <c r="E171" s="134" t="s">
        <v>148</v>
      </c>
      <c r="F171" s="134"/>
      <c r="G171" s="134"/>
      <c r="H171" s="134"/>
      <c r="I171" s="134" t="s">
        <v>214</v>
      </c>
      <c r="J171" s="134"/>
      <c r="K171" s="2"/>
      <c r="L171" s="2"/>
      <c r="M171" s="3"/>
      <c r="N171" s="2"/>
      <c r="O171" s="2"/>
      <c r="P171" s="2"/>
      <c r="Q171" s="76"/>
      <c r="R171" s="2"/>
      <c r="S171" s="77"/>
      <c r="T171" s="2"/>
      <c r="U171" s="2"/>
      <c r="V171" s="2"/>
      <c r="W171" s="2"/>
      <c r="X171" s="4"/>
    </row>
    <row r="172" spans="1:24" ht="12.75" customHeight="1">
      <c r="A172" s="17"/>
      <c r="B172" s="147" t="s">
        <v>149</v>
      </c>
      <c r="C172" s="147"/>
      <c r="D172" s="147"/>
      <c r="E172" s="171">
        <v>0</v>
      </c>
      <c r="F172" s="171"/>
      <c r="G172" s="171"/>
      <c r="H172" s="171"/>
      <c r="I172" s="172">
        <v>0</v>
      </c>
      <c r="J172" s="172"/>
      <c r="K172" s="2"/>
      <c r="L172" s="2"/>
      <c r="M172" s="3"/>
      <c r="N172" s="2"/>
      <c r="O172" s="2"/>
      <c r="P172" s="2"/>
      <c r="Q172" s="76"/>
      <c r="R172" s="2"/>
      <c r="S172" s="77"/>
      <c r="T172" s="2"/>
      <c r="U172" s="2"/>
      <c r="V172" s="2"/>
      <c r="W172" s="2"/>
      <c r="X172" s="4"/>
    </row>
    <row r="173" spans="1:24" ht="12.75" customHeight="1">
      <c r="A173" s="17"/>
      <c r="B173" s="173" t="s">
        <v>177</v>
      </c>
      <c r="C173" s="173"/>
      <c r="D173" s="173"/>
      <c r="E173" s="171">
        <v>0</v>
      </c>
      <c r="F173" s="171"/>
      <c r="G173" s="171"/>
      <c r="H173" s="171"/>
      <c r="I173" s="174" t="e">
        <f>E172*I172/E173</f>
        <v>#DIV/0!</v>
      </c>
      <c r="J173" s="174"/>
      <c r="K173" s="2"/>
      <c r="L173" s="2"/>
      <c r="M173" s="3"/>
      <c r="N173" s="2"/>
      <c r="O173" s="2"/>
      <c r="P173" s="2"/>
      <c r="Q173" s="76"/>
      <c r="R173" s="2"/>
      <c r="S173" s="77"/>
      <c r="T173" s="2"/>
      <c r="U173" s="2"/>
      <c r="V173" s="2"/>
      <c r="W173" s="2"/>
      <c r="X173" s="4"/>
    </row>
    <row r="174" spans="1:24" ht="12.75" customHeight="1">
      <c r="A174" s="17"/>
      <c r="B174" s="5"/>
      <c r="C174" s="5"/>
      <c r="D174" s="5"/>
      <c r="E174" s="5"/>
      <c r="F174" s="5"/>
      <c r="G174" s="5"/>
      <c r="H174" s="5"/>
      <c r="I174" s="5"/>
      <c r="J174" s="27"/>
      <c r="K174" s="2"/>
      <c r="L174" s="2"/>
      <c r="M174" s="3"/>
      <c r="N174" s="2"/>
      <c r="O174" s="2"/>
      <c r="P174" s="2"/>
      <c r="Q174" s="76"/>
      <c r="R174" s="2"/>
      <c r="S174" s="77"/>
      <c r="T174" s="2"/>
      <c r="U174" s="2"/>
      <c r="V174" s="2"/>
      <c r="W174" s="2"/>
      <c r="X174" s="4"/>
    </row>
    <row r="175" spans="1:24" ht="12.75" customHeight="1">
      <c r="A175" s="17"/>
      <c r="B175" s="5"/>
      <c r="C175" s="5"/>
      <c r="D175" s="5"/>
      <c r="E175" s="5"/>
      <c r="F175" s="5"/>
      <c r="G175" s="5"/>
      <c r="H175" s="5"/>
      <c r="I175" s="5"/>
      <c r="J175" s="27"/>
      <c r="K175" s="2"/>
      <c r="L175" s="2"/>
      <c r="M175" s="3"/>
      <c r="N175" s="2"/>
      <c r="O175" s="2"/>
      <c r="P175" s="2"/>
      <c r="Q175" s="76"/>
      <c r="R175" s="2"/>
      <c r="S175" s="77"/>
      <c r="T175" s="2"/>
      <c r="U175" s="2"/>
      <c r="V175" s="2"/>
      <c r="W175" s="2"/>
      <c r="X175" s="4"/>
    </row>
    <row r="176" spans="1:24" ht="12.75" customHeight="1">
      <c r="A176" s="17"/>
      <c r="B176" s="5"/>
      <c r="C176" s="5"/>
      <c r="D176" s="5"/>
      <c r="E176" s="5"/>
      <c r="F176" s="5"/>
      <c r="G176" s="5"/>
      <c r="H176" s="5"/>
      <c r="I176" s="5"/>
      <c r="J176" s="27"/>
      <c r="K176" s="2"/>
      <c r="L176" s="2"/>
      <c r="M176" s="3"/>
      <c r="N176" s="2"/>
      <c r="O176" s="2"/>
      <c r="P176" s="2"/>
      <c r="Q176" s="76"/>
      <c r="R176" s="2"/>
      <c r="S176" s="77"/>
      <c r="T176" s="2"/>
      <c r="U176" s="2"/>
      <c r="V176" s="2"/>
      <c r="W176" s="2"/>
      <c r="X176" s="4"/>
    </row>
    <row r="177" spans="1:24" ht="12.75" customHeight="1">
      <c r="A177" s="17"/>
      <c r="B177" s="5" t="s">
        <v>178</v>
      </c>
      <c r="C177" s="5"/>
      <c r="D177" s="5"/>
      <c r="E177" s="5"/>
      <c r="F177" s="5"/>
      <c r="G177" s="5"/>
      <c r="H177" s="5"/>
      <c r="I177" s="5"/>
      <c r="J177" s="27"/>
      <c r="K177" s="2"/>
      <c r="L177" s="2"/>
      <c r="M177" s="3"/>
      <c r="N177" s="2"/>
      <c r="O177" s="2"/>
      <c r="P177" s="2"/>
      <c r="Q177" s="76"/>
      <c r="R177" s="2"/>
      <c r="S177" s="77"/>
      <c r="T177" s="2"/>
      <c r="U177" s="2"/>
      <c r="V177" s="2"/>
      <c r="W177" s="2"/>
      <c r="X177" s="4"/>
    </row>
    <row r="178" spans="1:24" ht="12.75" customHeight="1">
      <c r="A178" s="17"/>
      <c r="B178" s="5"/>
      <c r="C178" s="5"/>
      <c r="D178" s="5"/>
      <c r="E178" s="5"/>
      <c r="F178" s="5"/>
      <c r="G178" s="5"/>
      <c r="H178" s="5"/>
      <c r="I178" s="5"/>
      <c r="J178" s="27"/>
      <c r="K178" s="2"/>
      <c r="L178" s="2"/>
      <c r="M178" s="3"/>
      <c r="N178" s="2"/>
      <c r="O178" s="2"/>
      <c r="P178" s="2"/>
      <c r="Q178" s="76"/>
      <c r="R178" s="2"/>
      <c r="S178" s="77"/>
      <c r="T178" s="2"/>
      <c r="U178" s="2"/>
      <c r="V178" s="2"/>
      <c r="W178" s="2"/>
      <c r="X178" s="4"/>
    </row>
    <row r="179" spans="1:24" ht="12.75" customHeight="1">
      <c r="A179" s="17"/>
      <c r="B179" s="166" t="s">
        <v>179</v>
      </c>
      <c r="C179" s="166"/>
      <c r="D179" s="166"/>
      <c r="E179" s="166"/>
      <c r="F179" s="166"/>
      <c r="G179" s="167" t="s">
        <v>180</v>
      </c>
      <c r="H179" s="167"/>
      <c r="I179" s="167"/>
      <c r="J179" s="167"/>
      <c r="K179" s="167"/>
      <c r="L179" s="167" t="s">
        <v>181</v>
      </c>
      <c r="M179" s="167"/>
      <c r="N179" s="167"/>
      <c r="O179" s="167"/>
      <c r="P179" s="167"/>
      <c r="Q179" s="167"/>
      <c r="R179" s="167"/>
      <c r="S179" s="77"/>
      <c r="T179" s="2"/>
      <c r="U179" s="2"/>
      <c r="V179" s="2"/>
      <c r="W179" s="2"/>
      <c r="X179" s="4"/>
    </row>
    <row r="180" spans="1:24" ht="12.75" customHeight="1">
      <c r="A180" s="17"/>
      <c r="B180" s="168" t="s">
        <v>182</v>
      </c>
      <c r="C180" s="168"/>
      <c r="D180" s="169" t="s">
        <v>183</v>
      </c>
      <c r="E180" s="169"/>
      <c r="F180" s="169"/>
      <c r="G180" s="170" t="s">
        <v>184</v>
      </c>
      <c r="H180" s="170"/>
      <c r="I180" s="169" t="s">
        <v>185</v>
      </c>
      <c r="J180" s="169"/>
      <c r="K180" s="169"/>
      <c r="L180" s="170" t="s">
        <v>186</v>
      </c>
      <c r="M180" s="170"/>
      <c r="N180" s="170"/>
      <c r="O180" s="169" t="s">
        <v>187</v>
      </c>
      <c r="P180" s="169"/>
      <c r="Q180" s="169"/>
      <c r="R180" s="169"/>
      <c r="S180" s="77"/>
      <c r="T180" s="2"/>
      <c r="U180" s="2"/>
      <c r="V180" s="2"/>
      <c r="W180" s="2"/>
      <c r="X180" s="4"/>
    </row>
    <row r="181" spans="1:24" ht="12.75" customHeight="1">
      <c r="A181" s="80"/>
      <c r="B181" s="152">
        <v>0</v>
      </c>
      <c r="C181" s="152"/>
      <c r="D181" s="152">
        <v>0</v>
      </c>
      <c r="E181" s="152"/>
      <c r="F181" s="152"/>
      <c r="G181" s="165">
        <v>0</v>
      </c>
      <c r="H181" s="165"/>
      <c r="I181" s="152">
        <v>0</v>
      </c>
      <c r="J181" s="152"/>
      <c r="K181" s="152"/>
      <c r="L181" s="159">
        <f>B181+G181</f>
        <v>0</v>
      </c>
      <c r="M181" s="159"/>
      <c r="N181" s="159"/>
      <c r="O181" s="127" t="str">
        <f>IF(B181*G181&lt;&gt;0,(B181*D181+G181*I181)/L181,"-")</f>
        <v>-</v>
      </c>
      <c r="P181" s="127"/>
      <c r="Q181" s="127"/>
      <c r="R181" s="127"/>
      <c r="S181" s="81" t="s">
        <v>188</v>
      </c>
      <c r="T181" s="82"/>
      <c r="U181" s="82"/>
      <c r="V181" s="82"/>
      <c r="W181" s="83"/>
      <c r="X181" s="4"/>
    </row>
    <row r="182" spans="1:24" ht="12.75" customHeight="1">
      <c r="A182" s="80"/>
      <c r="B182" s="160">
        <v>0</v>
      </c>
      <c r="C182" s="160"/>
      <c r="D182" s="152">
        <v>0</v>
      </c>
      <c r="E182" s="152"/>
      <c r="F182" s="152"/>
      <c r="G182" s="164">
        <f>B182*(D182-O182)/(O182-I182)</f>
        <v>0</v>
      </c>
      <c r="H182" s="164"/>
      <c r="I182" s="160">
        <v>0</v>
      </c>
      <c r="J182" s="160">
        <v>5</v>
      </c>
      <c r="K182" s="160"/>
      <c r="L182" s="164">
        <f>B182+G182</f>
        <v>0</v>
      </c>
      <c r="M182" s="164"/>
      <c r="N182" s="164"/>
      <c r="O182" s="160">
        <v>1E-05</v>
      </c>
      <c r="P182" s="160">
        <f>F182+K182</f>
        <v>0</v>
      </c>
      <c r="Q182" s="160"/>
      <c r="R182" s="160"/>
      <c r="S182" s="81" t="s">
        <v>189</v>
      </c>
      <c r="T182" s="82"/>
      <c r="U182" s="82"/>
      <c r="V182" s="82"/>
      <c r="W182" s="83"/>
      <c r="X182" s="4"/>
    </row>
    <row r="183" spans="1:24" ht="12.75" customHeight="1">
      <c r="A183" s="80"/>
      <c r="B183" s="152">
        <v>0</v>
      </c>
      <c r="C183" s="152"/>
      <c r="D183" s="160">
        <v>0</v>
      </c>
      <c r="E183" s="160"/>
      <c r="F183" s="160"/>
      <c r="G183" s="163">
        <v>1E-05</v>
      </c>
      <c r="H183" s="163"/>
      <c r="I183" s="128">
        <f>(O183*L183-B183*D183)/G183</f>
        <v>0</v>
      </c>
      <c r="J183" s="128">
        <v>5</v>
      </c>
      <c r="K183" s="128"/>
      <c r="L183" s="159">
        <f>B183+G183</f>
        <v>1E-05</v>
      </c>
      <c r="M183" s="159"/>
      <c r="N183" s="159"/>
      <c r="O183" s="160">
        <v>0</v>
      </c>
      <c r="P183" s="160">
        <f>F183+K183</f>
        <v>0</v>
      </c>
      <c r="Q183" s="160"/>
      <c r="R183" s="160"/>
      <c r="S183" s="84" t="s">
        <v>190</v>
      </c>
      <c r="T183" s="85"/>
      <c r="U183" s="85"/>
      <c r="V183" s="85"/>
      <c r="W183" s="86"/>
      <c r="X183" s="4"/>
    </row>
    <row r="184" spans="1:24" ht="12.75" customHeight="1">
      <c r="A184" s="17"/>
      <c r="B184" s="161" t="s">
        <v>191</v>
      </c>
      <c r="C184" s="161"/>
      <c r="D184" s="161"/>
      <c r="E184" s="87" t="s">
        <v>192</v>
      </c>
      <c r="F184" s="88"/>
      <c r="G184" s="88"/>
      <c r="H184" s="88"/>
      <c r="I184" s="88"/>
      <c r="J184" s="89"/>
      <c r="K184" s="90"/>
      <c r="L184" s="89"/>
      <c r="M184" s="90"/>
      <c r="N184" s="90"/>
      <c r="O184" s="90"/>
      <c r="P184" s="90"/>
      <c r="Q184" s="91"/>
      <c r="R184" s="72"/>
      <c r="S184" s="77"/>
      <c r="T184" s="2"/>
      <c r="U184" s="2"/>
      <c r="V184" s="2"/>
      <c r="W184" s="2"/>
      <c r="X184" s="4"/>
    </row>
    <row r="185" spans="1:24" ht="12.75" customHeight="1">
      <c r="A185" s="17"/>
      <c r="B185" s="162" t="s">
        <v>96</v>
      </c>
      <c r="C185" s="162"/>
      <c r="D185" s="162"/>
      <c r="E185" s="92" t="s">
        <v>97</v>
      </c>
      <c r="F185" s="93"/>
      <c r="G185" s="93"/>
      <c r="H185" s="92"/>
      <c r="I185" s="92"/>
      <c r="J185" s="92"/>
      <c r="K185" s="92"/>
      <c r="L185" s="94"/>
      <c r="M185" s="94"/>
      <c r="N185" s="94"/>
      <c r="O185" s="94"/>
      <c r="P185" s="94"/>
      <c r="Q185" s="95"/>
      <c r="R185" s="70"/>
      <c r="S185" s="77"/>
      <c r="T185" s="2"/>
      <c r="U185" s="2"/>
      <c r="V185" s="2"/>
      <c r="W185" s="2"/>
      <c r="X185" s="4"/>
    </row>
    <row r="186" spans="1:24" ht="12.75" customHeight="1">
      <c r="A186" s="17"/>
      <c r="B186" s="2"/>
      <c r="C186" s="2"/>
      <c r="D186" s="2"/>
      <c r="E186" s="2"/>
      <c r="F186" s="2"/>
      <c r="G186" s="2"/>
      <c r="H186" s="2"/>
      <c r="I186" s="2"/>
      <c r="J186" s="3"/>
      <c r="K186" s="2"/>
      <c r="L186" s="2"/>
      <c r="M186" s="3"/>
      <c r="N186" s="2"/>
      <c r="O186" s="2"/>
      <c r="P186" s="2"/>
      <c r="Q186" s="76"/>
      <c r="R186" s="2"/>
      <c r="S186" s="77"/>
      <c r="T186" s="2"/>
      <c r="U186" s="2"/>
      <c r="V186" s="2"/>
      <c r="W186" s="2"/>
      <c r="X186" s="4"/>
    </row>
    <row r="187" spans="1:24" ht="12.75" customHeight="1">
      <c r="A187" s="17"/>
      <c r="B187" s="2"/>
      <c r="C187" s="2"/>
      <c r="D187" s="2"/>
      <c r="E187" s="2"/>
      <c r="F187" s="2"/>
      <c r="G187" s="2"/>
      <c r="H187" s="2"/>
      <c r="I187" s="2"/>
      <c r="J187" s="3"/>
      <c r="K187" s="2"/>
      <c r="L187" s="2"/>
      <c r="M187" s="3"/>
      <c r="N187" s="2"/>
      <c r="O187" s="2"/>
      <c r="P187" s="2"/>
      <c r="Q187" s="76"/>
      <c r="R187" s="2"/>
      <c r="S187" s="77"/>
      <c r="T187" s="2"/>
      <c r="U187" s="2"/>
      <c r="V187" s="2"/>
      <c r="W187" s="2"/>
      <c r="X187" s="4"/>
    </row>
    <row r="188" spans="1:24" ht="12.75" customHeight="1">
      <c r="A188" s="17"/>
      <c r="B188" s="2"/>
      <c r="C188" s="2"/>
      <c r="D188" s="2"/>
      <c r="E188" s="2"/>
      <c r="F188" s="2"/>
      <c r="G188" s="2"/>
      <c r="H188" s="2"/>
      <c r="I188" s="2"/>
      <c r="J188" s="3"/>
      <c r="K188" s="2"/>
      <c r="L188" s="2"/>
      <c r="M188" s="3"/>
      <c r="N188" s="2"/>
      <c r="O188" s="2"/>
      <c r="P188" s="2"/>
      <c r="Q188" s="76"/>
      <c r="R188" s="2"/>
      <c r="S188" s="77"/>
      <c r="T188" s="2"/>
      <c r="U188" s="2"/>
      <c r="V188" s="2"/>
      <c r="W188" s="2"/>
      <c r="X188" s="4"/>
    </row>
    <row r="189" spans="1:24" ht="12.75" customHeight="1">
      <c r="A189" s="17"/>
      <c r="B189" s="5" t="s">
        <v>98</v>
      </c>
      <c r="C189" s="5"/>
      <c r="D189" s="5"/>
      <c r="E189" s="5"/>
      <c r="F189" s="5"/>
      <c r="G189" s="5"/>
      <c r="H189" s="5"/>
      <c r="I189" s="5"/>
      <c r="J189" s="27"/>
      <c r="K189" s="5"/>
      <c r="L189" s="5"/>
      <c r="M189" s="96">
        <v>0</v>
      </c>
      <c r="N189" s="8" t="s">
        <v>99</v>
      </c>
      <c r="O189" s="5"/>
      <c r="P189" s="5"/>
      <c r="Q189" s="74"/>
      <c r="R189" s="5"/>
      <c r="S189" s="75"/>
      <c r="T189" s="5"/>
      <c r="U189" s="5"/>
      <c r="V189" s="5"/>
      <c r="W189" s="2"/>
      <c r="X189" s="4"/>
    </row>
    <row r="190" spans="1:24" ht="12.75" customHeight="1">
      <c r="A190" s="17"/>
      <c r="B190" s="5"/>
      <c r="C190" s="5"/>
      <c r="D190" s="5"/>
      <c r="E190" s="5"/>
      <c r="F190" s="5"/>
      <c r="G190" s="5"/>
      <c r="H190" s="5"/>
      <c r="I190" s="5"/>
      <c r="J190" s="27"/>
      <c r="K190" s="5"/>
      <c r="L190" s="5"/>
      <c r="M190" s="97"/>
      <c r="N190" s="9"/>
      <c r="O190" s="2"/>
      <c r="P190" s="2"/>
      <c r="Q190" s="76"/>
      <c r="R190" s="2"/>
      <c r="S190" s="77"/>
      <c r="T190" s="2"/>
      <c r="U190" s="2"/>
      <c r="V190" s="2"/>
      <c r="W190" s="2"/>
      <c r="X190" s="4"/>
    </row>
    <row r="191" spans="1:24" ht="14.25" customHeight="1">
      <c r="A191" s="17"/>
      <c r="B191" s="156" t="s">
        <v>150</v>
      </c>
      <c r="C191" s="156"/>
      <c r="D191" s="156"/>
      <c r="E191" s="156"/>
      <c r="F191" s="156"/>
      <c r="G191" s="156"/>
      <c r="H191" s="156"/>
      <c r="I191" s="156"/>
      <c r="J191" s="156"/>
      <c r="K191" s="156"/>
      <c r="L191" s="156"/>
      <c r="M191" s="156"/>
      <c r="N191" s="5"/>
      <c r="O191" s="5"/>
      <c r="P191" s="5"/>
      <c r="Q191" s="74"/>
      <c r="R191" s="5"/>
      <c r="S191" s="75"/>
      <c r="T191" s="5"/>
      <c r="U191" s="5"/>
      <c r="V191" s="5"/>
      <c r="W191" s="2"/>
      <c r="X191" s="4"/>
    </row>
    <row r="192" spans="1:24" ht="12.75" customHeight="1">
      <c r="A192" s="17"/>
      <c r="B192" s="157" t="s">
        <v>221</v>
      </c>
      <c r="C192" s="157"/>
      <c r="D192" s="157"/>
      <c r="E192" s="134" t="s">
        <v>151</v>
      </c>
      <c r="F192" s="134"/>
      <c r="G192" s="134"/>
      <c r="H192" s="134" t="s">
        <v>152</v>
      </c>
      <c r="I192" s="134"/>
      <c r="J192" s="134"/>
      <c r="K192" s="158" t="s">
        <v>153</v>
      </c>
      <c r="L192" s="158"/>
      <c r="M192" s="158"/>
      <c r="N192" s="27"/>
      <c r="O192" s="5"/>
      <c r="P192" s="5"/>
      <c r="Q192" s="74"/>
      <c r="R192" s="5"/>
      <c r="S192" s="75"/>
      <c r="T192" s="5"/>
      <c r="U192" s="5"/>
      <c r="V192" s="5"/>
      <c r="W192" s="2"/>
      <c r="X192" s="4"/>
    </row>
    <row r="193" spans="1:24" ht="12.75" customHeight="1">
      <c r="A193" s="17"/>
      <c r="B193" s="151" t="s">
        <v>154</v>
      </c>
      <c r="C193" s="151"/>
      <c r="D193" s="151"/>
      <c r="E193" s="152">
        <v>0</v>
      </c>
      <c r="F193" s="152"/>
      <c r="G193" s="152"/>
      <c r="H193" s="141">
        <v>0</v>
      </c>
      <c r="I193" s="141"/>
      <c r="J193" s="141"/>
      <c r="K193" s="153" t="e">
        <f>E193*100/SUM(E193:E198)</f>
        <v>#DIV/0!</v>
      </c>
      <c r="L193" s="153"/>
      <c r="M193" s="153"/>
      <c r="N193" s="98"/>
      <c r="O193" s="5"/>
      <c r="P193" s="5"/>
      <c r="Q193" s="74"/>
      <c r="R193" s="5"/>
      <c r="S193" s="75"/>
      <c r="T193" s="5"/>
      <c r="U193" s="5"/>
      <c r="V193" s="5"/>
      <c r="W193" s="2"/>
      <c r="X193" s="4"/>
    </row>
    <row r="194" spans="1:24" ht="12.75" customHeight="1">
      <c r="A194" s="17"/>
      <c r="B194" s="151" t="s">
        <v>155</v>
      </c>
      <c r="C194" s="151"/>
      <c r="D194" s="151"/>
      <c r="E194" s="152">
        <v>0</v>
      </c>
      <c r="F194" s="152"/>
      <c r="G194" s="152"/>
      <c r="H194" s="141">
        <v>0</v>
      </c>
      <c r="I194" s="141"/>
      <c r="J194" s="141"/>
      <c r="K194" s="153" t="e">
        <f>E194*100/SUM(E193:E198)</f>
        <v>#DIV/0!</v>
      </c>
      <c r="L194" s="153"/>
      <c r="M194" s="153"/>
      <c r="N194" s="98"/>
      <c r="O194" s="5"/>
      <c r="P194" s="5"/>
      <c r="Q194" s="74"/>
      <c r="R194" s="5"/>
      <c r="S194" s="75"/>
      <c r="T194" s="5"/>
      <c r="U194" s="5"/>
      <c r="V194" s="5"/>
      <c r="W194" s="2"/>
      <c r="X194" s="4"/>
    </row>
    <row r="195" spans="1:24" ht="12.75" customHeight="1">
      <c r="A195" s="17"/>
      <c r="B195" s="151" t="s">
        <v>156</v>
      </c>
      <c r="C195" s="151"/>
      <c r="D195" s="151"/>
      <c r="E195" s="152">
        <v>0</v>
      </c>
      <c r="F195" s="152"/>
      <c r="G195" s="152"/>
      <c r="H195" s="141">
        <v>0</v>
      </c>
      <c r="I195" s="141"/>
      <c r="J195" s="141"/>
      <c r="K195" s="153" t="e">
        <f>E195*100/SUM(E193:E198)</f>
        <v>#DIV/0!</v>
      </c>
      <c r="L195" s="153"/>
      <c r="M195" s="153"/>
      <c r="N195" s="98"/>
      <c r="O195" s="5"/>
      <c r="P195" s="5"/>
      <c r="Q195" s="74"/>
      <c r="R195" s="5"/>
      <c r="S195" s="75"/>
      <c r="T195" s="5"/>
      <c r="U195" s="5"/>
      <c r="V195" s="5"/>
      <c r="W195" s="2"/>
      <c r="X195" s="4"/>
    </row>
    <row r="196" spans="1:24" ht="12.75" customHeight="1">
      <c r="A196" s="17"/>
      <c r="B196" s="151" t="s">
        <v>157</v>
      </c>
      <c r="C196" s="151"/>
      <c r="D196" s="151"/>
      <c r="E196" s="152">
        <v>0</v>
      </c>
      <c r="F196" s="152"/>
      <c r="G196" s="152"/>
      <c r="H196" s="141">
        <v>0</v>
      </c>
      <c r="I196" s="141"/>
      <c r="J196" s="141"/>
      <c r="K196" s="153" t="e">
        <f>E196*100/SUM(E193:E198)</f>
        <v>#DIV/0!</v>
      </c>
      <c r="L196" s="153"/>
      <c r="M196" s="153"/>
      <c r="N196" s="98"/>
      <c r="O196" s="5"/>
      <c r="P196" s="5"/>
      <c r="Q196" s="74"/>
      <c r="R196" s="5"/>
      <c r="S196" s="75"/>
      <c r="T196" s="5"/>
      <c r="U196" s="5"/>
      <c r="V196" s="5"/>
      <c r="W196" s="2"/>
      <c r="X196" s="4"/>
    </row>
    <row r="197" spans="1:24" ht="12.75" customHeight="1">
      <c r="A197" s="17"/>
      <c r="B197" s="151" t="s">
        <v>158</v>
      </c>
      <c r="C197" s="151"/>
      <c r="D197" s="151"/>
      <c r="E197" s="152">
        <v>0</v>
      </c>
      <c r="F197" s="152"/>
      <c r="G197" s="152"/>
      <c r="H197" s="141">
        <v>0</v>
      </c>
      <c r="I197" s="141"/>
      <c r="J197" s="141"/>
      <c r="K197" s="153" t="e">
        <f>E197*100/SUM(E193:E198)</f>
        <v>#DIV/0!</v>
      </c>
      <c r="L197" s="153"/>
      <c r="M197" s="153"/>
      <c r="N197" s="98"/>
      <c r="O197" s="5"/>
      <c r="P197" s="5"/>
      <c r="Q197" s="74"/>
      <c r="R197" s="5"/>
      <c r="S197" s="75"/>
      <c r="T197" s="5"/>
      <c r="U197" s="5"/>
      <c r="V197" s="5"/>
      <c r="W197" s="2"/>
      <c r="X197" s="4"/>
    </row>
    <row r="198" spans="1:24" ht="12.75" customHeight="1">
      <c r="A198" s="17"/>
      <c r="B198" s="151" t="s">
        <v>159</v>
      </c>
      <c r="C198" s="151"/>
      <c r="D198" s="151"/>
      <c r="E198" s="152">
        <v>0</v>
      </c>
      <c r="F198" s="152"/>
      <c r="G198" s="152"/>
      <c r="H198" s="141">
        <v>0</v>
      </c>
      <c r="I198" s="141"/>
      <c r="J198" s="141"/>
      <c r="K198" s="153" t="e">
        <f>E198*100/SUM(E193:E198)</f>
        <v>#DIV/0!</v>
      </c>
      <c r="L198" s="153"/>
      <c r="M198" s="153"/>
      <c r="N198" s="98"/>
      <c r="O198" s="5"/>
      <c r="P198" s="5"/>
      <c r="Q198" s="74"/>
      <c r="R198" s="5"/>
      <c r="S198" s="75"/>
      <c r="T198" s="5"/>
      <c r="U198" s="5"/>
      <c r="V198" s="5"/>
      <c r="W198" s="2"/>
      <c r="X198" s="4"/>
    </row>
    <row r="199" spans="1:24" ht="12.75" customHeight="1">
      <c r="A199" s="17"/>
      <c r="B199" s="3"/>
      <c r="C199" s="2"/>
      <c r="D199" s="2"/>
      <c r="E199" s="2"/>
      <c r="F199" s="2"/>
      <c r="G199" s="2"/>
      <c r="H199" s="2"/>
      <c r="I199" s="2"/>
      <c r="J199" s="3"/>
      <c r="K199" s="2"/>
      <c r="L199" s="2"/>
      <c r="M199" s="3"/>
      <c r="N199" s="5"/>
      <c r="O199" s="5"/>
      <c r="P199" s="5"/>
      <c r="Q199" s="74"/>
      <c r="R199" s="5"/>
      <c r="S199" s="75"/>
      <c r="T199" s="5"/>
      <c r="U199" s="5"/>
      <c r="V199" s="5"/>
      <c r="W199" s="2"/>
      <c r="X199" s="4"/>
    </row>
    <row r="200" spans="1:24" ht="12.75" customHeight="1">
      <c r="A200" s="17"/>
      <c r="B200" s="154" t="s">
        <v>160</v>
      </c>
      <c r="C200" s="154"/>
      <c r="D200" s="154"/>
      <c r="E200" s="154"/>
      <c r="F200" s="154"/>
      <c r="G200" s="154"/>
      <c r="H200" s="155" t="e">
        <f>(((E193*H193)+(E194*H194)+(E195*H195)+(E196*H196)+(E197*H197)+(E198*H198))/(E193+E194+E195+E196+E197+E198))+M189</f>
        <v>#DIV/0!</v>
      </c>
      <c r="I200" s="155"/>
      <c r="J200" s="155"/>
      <c r="K200" s="3"/>
      <c r="L200" s="3"/>
      <c r="M200" s="3"/>
      <c r="N200" s="5"/>
      <c r="O200" s="5"/>
      <c r="P200" s="5"/>
      <c r="Q200" s="74"/>
      <c r="R200" s="5"/>
      <c r="S200" s="75"/>
      <c r="T200" s="5"/>
      <c r="U200" s="5"/>
      <c r="V200" s="5"/>
      <c r="W200" s="2"/>
      <c r="X200" s="4"/>
    </row>
    <row r="201" spans="1:24" ht="12.75" customHeight="1">
      <c r="A201" s="17"/>
      <c r="B201" s="5"/>
      <c r="C201" s="5"/>
      <c r="D201" s="5"/>
      <c r="E201" s="5"/>
      <c r="F201" s="5"/>
      <c r="G201" s="5"/>
      <c r="H201" s="5"/>
      <c r="I201" s="5"/>
      <c r="J201" s="27"/>
      <c r="K201" s="5"/>
      <c r="L201" s="5"/>
      <c r="M201" s="27"/>
      <c r="N201" s="5"/>
      <c r="O201" s="5"/>
      <c r="P201" s="5"/>
      <c r="Q201" s="74"/>
      <c r="R201" s="5"/>
      <c r="S201" s="75"/>
      <c r="T201" s="5"/>
      <c r="U201" s="5"/>
      <c r="V201" s="5"/>
      <c r="W201" s="2"/>
      <c r="X201" s="4"/>
    </row>
    <row r="202" spans="1:24" ht="12.75" customHeight="1">
      <c r="A202" s="17"/>
      <c r="B202" s="5"/>
      <c r="C202" s="5"/>
      <c r="D202" s="5"/>
      <c r="E202" s="5"/>
      <c r="F202" s="5"/>
      <c r="G202" s="5"/>
      <c r="H202" s="5"/>
      <c r="I202" s="5"/>
      <c r="J202" s="27"/>
      <c r="K202" s="5"/>
      <c r="L202" s="5"/>
      <c r="M202" s="27"/>
      <c r="N202" s="5"/>
      <c r="O202" s="5"/>
      <c r="P202" s="5"/>
      <c r="Q202" s="74"/>
      <c r="R202" s="5"/>
      <c r="S202" s="75"/>
      <c r="T202" s="5"/>
      <c r="U202" s="5"/>
      <c r="V202" s="5"/>
      <c r="W202" s="2"/>
      <c r="X202" s="4"/>
    </row>
    <row r="203" spans="1:24" ht="12.75" customHeight="1">
      <c r="A203" s="17"/>
      <c r="B203" s="5"/>
      <c r="C203" s="5"/>
      <c r="D203" s="5"/>
      <c r="E203" s="5"/>
      <c r="F203" s="5"/>
      <c r="G203" s="5"/>
      <c r="H203" s="5"/>
      <c r="I203" s="5"/>
      <c r="J203" s="27"/>
      <c r="K203" s="5"/>
      <c r="L203" s="5"/>
      <c r="M203" s="27"/>
      <c r="N203" s="5"/>
      <c r="O203" s="5"/>
      <c r="P203" s="5"/>
      <c r="Q203" s="74"/>
      <c r="R203" s="5"/>
      <c r="S203" s="75"/>
      <c r="T203" s="5"/>
      <c r="U203" s="5"/>
      <c r="V203" s="5"/>
      <c r="W203" s="2"/>
      <c r="X203" s="4"/>
    </row>
    <row r="204" spans="1:24" ht="12.75" customHeight="1">
      <c r="A204" s="17"/>
      <c r="B204" s="5" t="s">
        <v>200</v>
      </c>
      <c r="C204" s="5"/>
      <c r="D204" s="5"/>
      <c r="E204" s="5"/>
      <c r="F204" s="5"/>
      <c r="G204" s="5"/>
      <c r="H204" s="5"/>
      <c r="I204" s="5"/>
      <c r="J204" s="27"/>
      <c r="K204" s="5"/>
      <c r="L204" s="27" t="s">
        <v>201</v>
      </c>
      <c r="M204" s="5"/>
      <c r="N204" s="5"/>
      <c r="O204" s="5"/>
      <c r="P204" s="5"/>
      <c r="Q204" s="74"/>
      <c r="R204" s="5"/>
      <c r="S204" s="75"/>
      <c r="T204" s="5"/>
      <c r="U204" s="5"/>
      <c r="V204" s="5"/>
      <c r="W204" s="2"/>
      <c r="X204" s="4"/>
    </row>
    <row r="205" spans="1:24" ht="12.75" customHeight="1">
      <c r="A205" s="17"/>
      <c r="B205" s="5"/>
      <c r="C205" s="5"/>
      <c r="D205" s="5"/>
      <c r="E205" s="5"/>
      <c r="F205" s="5"/>
      <c r="G205" s="5"/>
      <c r="H205" s="5"/>
      <c r="I205" s="5"/>
      <c r="J205" s="27"/>
      <c r="K205" s="5"/>
      <c r="L205" s="5"/>
      <c r="M205" s="27"/>
      <c r="N205" s="5"/>
      <c r="O205" s="5"/>
      <c r="P205" s="5"/>
      <c r="Q205" s="74"/>
      <c r="R205" s="5"/>
      <c r="S205" s="75"/>
      <c r="T205" s="5"/>
      <c r="U205" s="5"/>
      <c r="V205" s="5"/>
      <c r="W205" s="2"/>
      <c r="X205" s="4"/>
    </row>
    <row r="206" spans="1:24" ht="12.75" customHeight="1">
      <c r="A206" s="17"/>
      <c r="B206" s="147" t="s">
        <v>202</v>
      </c>
      <c r="C206" s="147"/>
      <c r="D206" s="147"/>
      <c r="E206" s="147"/>
      <c r="F206" s="148">
        <v>0</v>
      </c>
      <c r="G206" s="148"/>
      <c r="H206" s="99" t="s">
        <v>203</v>
      </c>
      <c r="I206" s="2"/>
      <c r="J206" s="3"/>
      <c r="K206" s="2"/>
      <c r="L206" s="3"/>
      <c r="M206" s="3"/>
      <c r="N206" s="27"/>
      <c r="O206" s="27"/>
      <c r="P206" s="27"/>
      <c r="Q206" s="74"/>
      <c r="R206" s="27"/>
      <c r="S206" s="100"/>
      <c r="T206" s="23"/>
      <c r="U206" s="101"/>
      <c r="V206" s="5"/>
      <c r="W206" s="2"/>
      <c r="X206" s="4"/>
    </row>
    <row r="207" spans="1:24" ht="12.75" customHeight="1">
      <c r="A207" s="17"/>
      <c r="B207" s="147" t="s">
        <v>204</v>
      </c>
      <c r="C207" s="147"/>
      <c r="D207" s="147"/>
      <c r="E207" s="147"/>
      <c r="F207" s="148">
        <v>0</v>
      </c>
      <c r="G207" s="148"/>
      <c r="H207" s="99" t="s">
        <v>203</v>
      </c>
      <c r="I207" s="2"/>
      <c r="J207" s="3"/>
      <c r="K207" s="2"/>
      <c r="L207" s="149" t="s">
        <v>205</v>
      </c>
      <c r="M207" s="149"/>
      <c r="N207" s="149"/>
      <c r="O207" s="149"/>
      <c r="P207" s="149"/>
      <c r="Q207" s="149"/>
      <c r="R207" s="149"/>
      <c r="S207" s="150">
        <v>0</v>
      </c>
      <c r="T207" s="150"/>
      <c r="U207" s="102" t="s">
        <v>203</v>
      </c>
      <c r="V207" s="2"/>
      <c r="W207" s="2"/>
      <c r="X207" s="4"/>
    </row>
    <row r="208" spans="1:24" ht="12.75" customHeight="1">
      <c r="A208" s="17"/>
      <c r="B208" s="143" t="s">
        <v>206</v>
      </c>
      <c r="C208" s="143"/>
      <c r="D208" s="143"/>
      <c r="E208" s="143"/>
      <c r="F208" s="144">
        <f>(F207/2)^2*3.14*F206/1000000</f>
        <v>0</v>
      </c>
      <c r="G208" s="144"/>
      <c r="H208" s="78" t="s">
        <v>218</v>
      </c>
      <c r="I208" s="2"/>
      <c r="J208" s="3"/>
      <c r="K208" s="2"/>
      <c r="L208" s="145" t="s">
        <v>207</v>
      </c>
      <c r="M208" s="145"/>
      <c r="N208" s="145"/>
      <c r="O208" s="145"/>
      <c r="P208" s="145"/>
      <c r="Q208" s="145"/>
      <c r="R208" s="145"/>
      <c r="S208" s="144" t="e">
        <f>(F206-S207)*F208/F206</f>
        <v>#DIV/0!</v>
      </c>
      <c r="T208" s="144"/>
      <c r="U208" s="103" t="s">
        <v>218</v>
      </c>
      <c r="V208" s="2"/>
      <c r="W208" s="2"/>
      <c r="X208" s="4"/>
    </row>
    <row r="209" spans="1:24" ht="12.75" customHeight="1">
      <c r="A209" s="17"/>
      <c r="B209" s="27"/>
      <c r="C209" s="27"/>
      <c r="D209" s="27"/>
      <c r="E209" s="27"/>
      <c r="F209" s="23"/>
      <c r="G209" s="27"/>
      <c r="H209" s="27"/>
      <c r="I209" s="5"/>
      <c r="J209" s="27"/>
      <c r="K209" s="5"/>
      <c r="L209" s="5"/>
      <c r="M209" s="5"/>
      <c r="N209" s="5"/>
      <c r="O209" s="5"/>
      <c r="P209" s="5"/>
      <c r="Q209" s="5"/>
      <c r="R209" s="5"/>
      <c r="S209" s="5"/>
      <c r="T209" s="5"/>
      <c r="U209" s="5"/>
      <c r="V209" s="5"/>
      <c r="W209" s="2"/>
      <c r="X209" s="4"/>
    </row>
    <row r="210" spans="1:24" ht="12.75" customHeight="1">
      <c r="A210" s="17"/>
      <c r="B210" s="27"/>
      <c r="C210" s="27"/>
      <c r="D210" s="27"/>
      <c r="E210" s="27"/>
      <c r="F210" s="23"/>
      <c r="G210" s="27"/>
      <c r="H210" s="27"/>
      <c r="I210" s="5"/>
      <c r="J210" s="27"/>
      <c r="K210" s="5"/>
      <c r="L210" s="5"/>
      <c r="M210" s="5"/>
      <c r="N210" s="5"/>
      <c r="O210" s="5"/>
      <c r="P210" s="5"/>
      <c r="Q210" s="5"/>
      <c r="R210" s="5"/>
      <c r="S210" s="5"/>
      <c r="T210" s="5"/>
      <c r="U210" s="5"/>
      <c r="V210" s="5"/>
      <c r="W210" s="2"/>
      <c r="X210" s="4"/>
    </row>
    <row r="211" spans="1:24" ht="12.75" customHeight="1">
      <c r="A211" s="17"/>
      <c r="B211" s="27"/>
      <c r="C211" s="27"/>
      <c r="D211" s="27"/>
      <c r="E211" s="27"/>
      <c r="F211" s="23"/>
      <c r="G211" s="27"/>
      <c r="H211" s="27"/>
      <c r="I211" s="5"/>
      <c r="J211" s="27"/>
      <c r="K211" s="5"/>
      <c r="L211" s="5"/>
      <c r="M211" s="5"/>
      <c r="N211" s="5"/>
      <c r="O211" s="5"/>
      <c r="P211" s="5"/>
      <c r="Q211" s="5"/>
      <c r="R211" s="5"/>
      <c r="S211" s="5"/>
      <c r="T211" s="5"/>
      <c r="U211" s="5"/>
      <c r="V211" s="5"/>
      <c r="W211" s="2"/>
      <c r="X211" s="4"/>
    </row>
    <row r="212" spans="1:24" ht="12.75" customHeight="1">
      <c r="A212" s="17"/>
      <c r="B212" s="27" t="s">
        <v>208</v>
      </c>
      <c r="C212" s="27"/>
      <c r="D212" s="27"/>
      <c r="E212" s="27"/>
      <c r="F212" s="23"/>
      <c r="G212" s="27"/>
      <c r="H212" s="27"/>
      <c r="I212" s="5"/>
      <c r="J212" s="27"/>
      <c r="K212" s="5"/>
      <c r="L212" s="5"/>
      <c r="M212" s="5"/>
      <c r="N212" s="5"/>
      <c r="O212" s="5"/>
      <c r="P212" s="5"/>
      <c r="Q212" s="5"/>
      <c r="R212" s="5"/>
      <c r="S212" s="5"/>
      <c r="T212" s="5"/>
      <c r="U212" s="5"/>
      <c r="V212" s="5"/>
      <c r="W212" s="2"/>
      <c r="X212" s="4"/>
    </row>
    <row r="213" spans="1:24" ht="12.75" customHeight="1">
      <c r="A213" s="17"/>
      <c r="B213" s="27"/>
      <c r="C213" s="27"/>
      <c r="D213" s="27"/>
      <c r="E213" s="27"/>
      <c r="F213" s="23"/>
      <c r="G213" s="27"/>
      <c r="H213" s="27"/>
      <c r="I213" s="5"/>
      <c r="J213" s="27"/>
      <c r="K213" s="5"/>
      <c r="L213" s="5"/>
      <c r="M213" s="5"/>
      <c r="N213" s="5"/>
      <c r="O213" s="5"/>
      <c r="P213" s="5"/>
      <c r="Q213" s="5"/>
      <c r="R213" s="5"/>
      <c r="S213" s="5"/>
      <c r="T213" s="5"/>
      <c r="U213" s="5"/>
      <c r="V213" s="5"/>
      <c r="W213" s="2"/>
      <c r="X213" s="4"/>
    </row>
    <row r="214" spans="1:24" ht="12.75" customHeight="1">
      <c r="A214" s="17"/>
      <c r="B214" s="134" t="s">
        <v>115</v>
      </c>
      <c r="C214" s="134" t="s">
        <v>115</v>
      </c>
      <c r="D214" s="134" t="s">
        <v>209</v>
      </c>
      <c r="E214" s="134"/>
      <c r="F214" s="2"/>
      <c r="G214" s="134" t="s">
        <v>203</v>
      </c>
      <c r="H214" s="134"/>
      <c r="I214" s="134" t="s">
        <v>210</v>
      </c>
      <c r="J214" s="134"/>
      <c r="K214" s="2"/>
      <c r="L214" s="134" t="s">
        <v>218</v>
      </c>
      <c r="M214" s="134"/>
      <c r="N214" s="146" t="s">
        <v>211</v>
      </c>
      <c r="O214" s="146"/>
      <c r="P214" s="2"/>
      <c r="Q214" s="132" t="s">
        <v>212</v>
      </c>
      <c r="R214" s="132"/>
      <c r="S214" s="132" t="s">
        <v>213</v>
      </c>
      <c r="T214" s="132"/>
      <c r="U214" s="2"/>
      <c r="V214" s="2"/>
      <c r="W214" s="2"/>
      <c r="X214" s="4"/>
    </row>
    <row r="215" spans="1:24" ht="12.75" customHeight="1">
      <c r="A215" s="17"/>
      <c r="B215" s="136">
        <v>0</v>
      </c>
      <c r="C215" s="136"/>
      <c r="D215" s="135">
        <f>B215*1.8+32</f>
        <v>32</v>
      </c>
      <c r="E215" s="135"/>
      <c r="F215" s="2"/>
      <c r="G215" s="141">
        <v>0</v>
      </c>
      <c r="H215" s="141"/>
      <c r="I215" s="137">
        <f>G215/25.4</f>
        <v>0</v>
      </c>
      <c r="J215" s="137"/>
      <c r="K215" s="2"/>
      <c r="L215" s="140">
        <v>0</v>
      </c>
      <c r="M215" s="140"/>
      <c r="N215" s="139">
        <f>L215/3.7853</f>
        <v>0</v>
      </c>
      <c r="O215" s="139"/>
      <c r="P215" s="2"/>
      <c r="Q215" s="142">
        <v>0</v>
      </c>
      <c r="R215" s="142"/>
      <c r="S215" s="127">
        <f>Q215/28.35</f>
        <v>0</v>
      </c>
      <c r="T215" s="127"/>
      <c r="U215" s="2"/>
      <c r="V215" s="2"/>
      <c r="W215" s="2"/>
      <c r="X215" s="4"/>
    </row>
    <row r="216" spans="1:24" ht="12.75" customHeight="1">
      <c r="A216" s="17"/>
      <c r="B216" s="135">
        <f>(D216-32)/1.8</f>
        <v>-17.77777777777778</v>
      </c>
      <c r="C216" s="135"/>
      <c r="D216" s="136">
        <v>0</v>
      </c>
      <c r="E216" s="136"/>
      <c r="F216" s="2"/>
      <c r="G216" s="137">
        <f>I216*25.4</f>
        <v>0</v>
      </c>
      <c r="H216" s="137"/>
      <c r="I216" s="138">
        <v>0</v>
      </c>
      <c r="J216" s="138"/>
      <c r="K216" s="2"/>
      <c r="L216" s="139">
        <f>N216*3.7853</f>
        <v>0</v>
      </c>
      <c r="M216" s="139"/>
      <c r="N216" s="140">
        <v>0</v>
      </c>
      <c r="O216" s="140"/>
      <c r="P216" s="2"/>
      <c r="Q216" s="131">
        <f>S216*28.35</f>
        <v>0</v>
      </c>
      <c r="R216" s="131"/>
      <c r="S216" s="124">
        <v>0</v>
      </c>
      <c r="T216" s="124"/>
      <c r="U216" s="2"/>
      <c r="V216" s="2"/>
      <c r="W216" s="2"/>
      <c r="X216" s="4"/>
    </row>
    <row r="217" spans="1:24" ht="12.75" customHeight="1">
      <c r="A217" s="17"/>
      <c r="B217" s="3"/>
      <c r="C217" s="3"/>
      <c r="D217" s="3"/>
      <c r="E217" s="3"/>
      <c r="F217" s="13"/>
      <c r="G217" s="3"/>
      <c r="H217" s="3"/>
      <c r="I217" s="2"/>
      <c r="J217" s="3"/>
      <c r="K217" s="2"/>
      <c r="L217" s="2"/>
      <c r="M217" s="3"/>
      <c r="N217" s="2"/>
      <c r="O217" s="2"/>
      <c r="P217" s="2"/>
      <c r="Q217" s="76"/>
      <c r="R217" s="2"/>
      <c r="S217" s="77"/>
      <c r="T217" s="2"/>
      <c r="U217" s="2"/>
      <c r="V217" s="2"/>
      <c r="W217" s="2"/>
      <c r="X217" s="4"/>
    </row>
    <row r="218" spans="1:24" ht="12.75" customHeight="1">
      <c r="A218" s="17"/>
      <c r="B218" s="132" t="s">
        <v>220</v>
      </c>
      <c r="C218" s="132"/>
      <c r="D218" s="133" t="s">
        <v>161</v>
      </c>
      <c r="E218" s="133"/>
      <c r="F218" s="13"/>
      <c r="G218" s="134" t="s">
        <v>203</v>
      </c>
      <c r="H218" s="134"/>
      <c r="I218" s="134" t="s">
        <v>193</v>
      </c>
      <c r="J218" s="134"/>
      <c r="K218" s="2"/>
      <c r="L218" s="2"/>
      <c r="M218" s="3"/>
      <c r="N218" s="2"/>
      <c r="O218" s="2"/>
      <c r="P218" s="2"/>
      <c r="Q218" s="76"/>
      <c r="R218" s="2"/>
      <c r="S218" s="77"/>
      <c r="T218" s="2"/>
      <c r="U218" s="2"/>
      <c r="V218" s="2"/>
      <c r="W218" s="2"/>
      <c r="X218" s="4"/>
    </row>
    <row r="219" spans="1:24" ht="12.75" customHeight="1">
      <c r="A219" s="17"/>
      <c r="B219" s="124">
        <v>0</v>
      </c>
      <c r="C219" s="124"/>
      <c r="D219" s="125">
        <f>B219*2.205</f>
        <v>0</v>
      </c>
      <c r="E219" s="125"/>
      <c r="F219" s="13"/>
      <c r="G219" s="126">
        <v>0</v>
      </c>
      <c r="H219" s="126"/>
      <c r="I219" s="127">
        <f>G219*0.03937</f>
        <v>0</v>
      </c>
      <c r="J219" s="127"/>
      <c r="K219" s="2"/>
      <c r="L219" s="2"/>
      <c r="M219" s="3"/>
      <c r="N219" s="2"/>
      <c r="O219" s="2"/>
      <c r="P219" s="2"/>
      <c r="Q219" s="76"/>
      <c r="R219" s="2"/>
      <c r="S219" s="77"/>
      <c r="T219" s="2"/>
      <c r="U219" s="2"/>
      <c r="V219" s="2"/>
      <c r="W219" s="2"/>
      <c r="X219" s="4"/>
    </row>
    <row r="220" spans="1:24" ht="12.75" customHeight="1">
      <c r="A220" s="17"/>
      <c r="B220" s="128">
        <f>D220/2.205</f>
        <v>0</v>
      </c>
      <c r="C220" s="128"/>
      <c r="D220" s="129">
        <v>0</v>
      </c>
      <c r="E220" s="129"/>
      <c r="F220" s="13"/>
      <c r="G220" s="130">
        <f>I220/0.0397</f>
        <v>0</v>
      </c>
      <c r="H220" s="130"/>
      <c r="I220" s="124">
        <v>0</v>
      </c>
      <c r="J220" s="124"/>
      <c r="K220" s="2"/>
      <c r="L220" s="2"/>
      <c r="M220" s="3"/>
      <c r="N220" s="2"/>
      <c r="O220" s="2"/>
      <c r="P220" s="2"/>
      <c r="Q220" s="76"/>
      <c r="R220" s="2"/>
      <c r="S220" s="77"/>
      <c r="T220" s="2"/>
      <c r="U220" s="2"/>
      <c r="V220" s="2"/>
      <c r="W220" s="2"/>
      <c r="X220" s="4"/>
    </row>
    <row r="221" spans="1:24" ht="12.75">
      <c r="A221" s="17"/>
      <c r="B221" s="2"/>
      <c r="C221" s="2"/>
      <c r="D221" s="2"/>
      <c r="E221" s="2"/>
      <c r="F221" s="2"/>
      <c r="G221" s="2"/>
      <c r="H221" s="2"/>
      <c r="I221" s="2"/>
      <c r="J221" s="2"/>
      <c r="K221" s="2"/>
      <c r="L221" s="2"/>
      <c r="M221" s="3"/>
      <c r="N221" s="2"/>
      <c r="O221" s="2"/>
      <c r="P221" s="2"/>
      <c r="Q221" s="76"/>
      <c r="R221" s="2"/>
      <c r="S221" s="77"/>
      <c r="T221" s="2"/>
      <c r="U221" s="2"/>
      <c r="V221" s="2"/>
      <c r="W221" s="2"/>
      <c r="X221" s="4"/>
    </row>
    <row r="222" spans="1:24" ht="12.75">
      <c r="A222" s="17"/>
      <c r="B222" s="2"/>
      <c r="C222" s="2"/>
      <c r="D222" s="2"/>
      <c r="E222" s="2"/>
      <c r="F222" s="2"/>
      <c r="G222" s="2"/>
      <c r="H222" s="2"/>
      <c r="I222" s="2"/>
      <c r="J222" s="2"/>
      <c r="K222" s="2"/>
      <c r="L222" s="2"/>
      <c r="M222" s="2"/>
      <c r="N222" s="2"/>
      <c r="O222" s="2"/>
      <c r="P222" s="2"/>
      <c r="Q222" s="2"/>
      <c r="R222" s="2"/>
      <c r="S222" s="2"/>
      <c r="T222" s="2"/>
      <c r="U222" s="2"/>
      <c r="V222" s="2"/>
      <c r="W222" s="2"/>
      <c r="X222" s="4"/>
    </row>
    <row r="223" spans="1:24" s="10" customFormat="1" ht="12.75">
      <c r="A223" s="19"/>
      <c r="B223" s="3"/>
      <c r="C223" s="3"/>
      <c r="D223" s="3"/>
      <c r="E223" s="3"/>
      <c r="F223" s="3"/>
      <c r="G223" s="3"/>
      <c r="H223" s="3"/>
      <c r="I223" s="3"/>
      <c r="J223" s="3"/>
      <c r="K223" s="3"/>
      <c r="L223" s="3"/>
      <c r="M223" s="3"/>
      <c r="N223" s="3"/>
      <c r="O223" s="3"/>
      <c r="P223" s="3"/>
      <c r="Q223" s="3"/>
      <c r="R223" s="3"/>
      <c r="S223" s="3"/>
      <c r="T223" s="3"/>
      <c r="U223" s="3"/>
      <c r="V223" s="3"/>
      <c r="W223" s="3"/>
      <c r="X223" s="4"/>
    </row>
    <row r="224" spans="1:24" s="10" customFormat="1" ht="12.75">
      <c r="A224" s="19"/>
      <c r="B224" s="27" t="s">
        <v>194</v>
      </c>
      <c r="C224" s="3"/>
      <c r="D224" s="3"/>
      <c r="E224" s="3"/>
      <c r="F224" s="3"/>
      <c r="G224" s="3"/>
      <c r="H224" s="3"/>
      <c r="I224" s="3"/>
      <c r="J224" s="3"/>
      <c r="K224" s="3"/>
      <c r="L224" s="3"/>
      <c r="M224" s="3"/>
      <c r="N224" s="3"/>
      <c r="O224" s="3"/>
      <c r="P224" s="3"/>
      <c r="Q224" s="3"/>
      <c r="R224" s="3"/>
      <c r="S224" s="3"/>
      <c r="T224" s="3"/>
      <c r="U224" s="3"/>
      <c r="V224" s="3"/>
      <c r="W224" s="3"/>
      <c r="X224" s="4"/>
    </row>
    <row r="225" spans="1:24" ht="12.75">
      <c r="A225" s="17"/>
      <c r="B225" s="2"/>
      <c r="C225" s="2"/>
      <c r="D225" s="2"/>
      <c r="E225" s="2"/>
      <c r="F225" s="2"/>
      <c r="G225" s="2"/>
      <c r="H225" s="2"/>
      <c r="I225" s="2"/>
      <c r="J225" s="2"/>
      <c r="K225" s="2"/>
      <c r="L225" s="2"/>
      <c r="M225" s="2"/>
      <c r="N225" s="2"/>
      <c r="O225" s="2"/>
      <c r="P225" s="2"/>
      <c r="Q225" s="2"/>
      <c r="R225" s="2"/>
      <c r="S225" s="2"/>
      <c r="T225" s="2"/>
      <c r="U225" s="2"/>
      <c r="V225" s="2"/>
      <c r="W225" s="2"/>
      <c r="X225" s="4"/>
    </row>
    <row r="226" spans="1:24" ht="12.75">
      <c r="A226" s="17"/>
      <c r="B226" s="119" t="s">
        <v>195</v>
      </c>
      <c r="C226" s="119"/>
      <c r="D226" s="119"/>
      <c r="E226" s="119"/>
      <c r="F226" s="119"/>
      <c r="G226" s="119"/>
      <c r="H226" s="119"/>
      <c r="I226" s="119"/>
      <c r="J226" s="120">
        <v>100</v>
      </c>
      <c r="K226" s="120"/>
      <c r="L226" s="120"/>
      <c r="M226" s="2"/>
      <c r="N226" s="2"/>
      <c r="O226" s="2"/>
      <c r="P226" s="2"/>
      <c r="Q226" s="2"/>
      <c r="R226" s="2"/>
      <c r="S226" s="2"/>
      <c r="T226" s="2"/>
      <c r="U226" s="2"/>
      <c r="V226" s="2"/>
      <c r="W226" s="2"/>
      <c r="X226" s="4"/>
    </row>
    <row r="227" spans="1:24" ht="12.75">
      <c r="A227" s="17"/>
      <c r="B227" s="119" t="s">
        <v>196</v>
      </c>
      <c r="C227" s="119"/>
      <c r="D227" s="119"/>
      <c r="E227" s="119"/>
      <c r="F227" s="119"/>
      <c r="G227" s="119"/>
      <c r="H227" s="119"/>
      <c r="I227" s="119"/>
      <c r="J227" s="121">
        <v>12</v>
      </c>
      <c r="K227" s="121"/>
      <c r="L227" s="121"/>
      <c r="M227" s="2"/>
      <c r="N227" s="2"/>
      <c r="O227" s="2"/>
      <c r="P227" s="2"/>
      <c r="Q227" s="2"/>
      <c r="R227" s="2"/>
      <c r="S227" s="2"/>
      <c r="T227" s="2"/>
      <c r="U227" s="2"/>
      <c r="V227" s="2"/>
      <c r="W227" s="2"/>
      <c r="X227" s="4"/>
    </row>
    <row r="228" spans="1:24" ht="13.5" thickBot="1">
      <c r="A228" s="17"/>
      <c r="B228" s="122" t="s">
        <v>197</v>
      </c>
      <c r="C228" s="122"/>
      <c r="D228" s="122"/>
      <c r="E228" s="122"/>
      <c r="F228" s="122"/>
      <c r="G228" s="122"/>
      <c r="H228" s="122"/>
      <c r="I228" s="122"/>
      <c r="J228" s="123">
        <v>41</v>
      </c>
      <c r="K228" s="123"/>
      <c r="L228" s="123"/>
      <c r="M228" s="2"/>
      <c r="N228" s="2"/>
      <c r="O228" s="2"/>
      <c r="P228" s="2"/>
      <c r="Q228" s="2"/>
      <c r="R228" s="2"/>
      <c r="S228" s="2"/>
      <c r="T228" s="2"/>
      <c r="U228" s="2"/>
      <c r="V228" s="2"/>
      <c r="W228" s="2"/>
      <c r="X228" s="4"/>
    </row>
    <row r="229" spans="1:24" ht="12.75" customHeight="1">
      <c r="A229" s="2"/>
      <c r="B229" s="113" t="s">
        <v>198</v>
      </c>
      <c r="C229" s="113"/>
      <c r="D229" s="113"/>
      <c r="E229" s="113"/>
      <c r="F229" s="113"/>
      <c r="G229" s="113"/>
      <c r="H229" s="113"/>
      <c r="I229" s="113"/>
      <c r="J229" s="114">
        <v>70</v>
      </c>
      <c r="K229" s="114"/>
      <c r="L229" s="114"/>
      <c r="M229" s="2"/>
      <c r="N229" s="2"/>
      <c r="O229" s="2"/>
      <c r="P229" s="2"/>
      <c r="Q229" s="2"/>
      <c r="R229" s="2"/>
      <c r="S229" s="2"/>
      <c r="T229" s="2"/>
      <c r="U229" s="2"/>
      <c r="V229" s="2"/>
      <c r="W229" s="2"/>
      <c r="X229" s="4"/>
    </row>
    <row r="230" spans="1:24" ht="12.75">
      <c r="A230" s="2"/>
      <c r="B230" s="115" t="s">
        <v>196</v>
      </c>
      <c r="C230" s="115"/>
      <c r="D230" s="115"/>
      <c r="E230" s="115"/>
      <c r="F230" s="115"/>
      <c r="G230" s="115"/>
      <c r="H230" s="115"/>
      <c r="I230" s="115"/>
      <c r="J230" s="116">
        <f>J227*J226/J229</f>
        <v>17.142857142857142</v>
      </c>
      <c r="K230" s="116"/>
      <c r="L230" s="116"/>
      <c r="M230" s="2"/>
      <c r="N230" s="2"/>
      <c r="O230" s="2"/>
      <c r="P230" s="2"/>
      <c r="Q230" s="2"/>
      <c r="R230" s="2"/>
      <c r="S230" s="2"/>
      <c r="T230" s="2"/>
      <c r="U230" s="2"/>
      <c r="V230" s="2"/>
      <c r="W230" s="2"/>
      <c r="X230" s="4"/>
    </row>
    <row r="231" spans="1:24" ht="13.5" thickBot="1">
      <c r="A231" s="2"/>
      <c r="B231" s="117" t="s">
        <v>197</v>
      </c>
      <c r="C231" s="117"/>
      <c r="D231" s="117"/>
      <c r="E231" s="117"/>
      <c r="F231" s="117"/>
      <c r="G231" s="117"/>
      <c r="H231" s="117"/>
      <c r="I231" s="117"/>
      <c r="J231" s="118">
        <f>J228*J226/J229</f>
        <v>58.57142857142857</v>
      </c>
      <c r="K231" s="118"/>
      <c r="L231" s="118"/>
      <c r="M231" s="2"/>
      <c r="N231" s="2"/>
      <c r="O231" s="2"/>
      <c r="P231" s="2"/>
      <c r="Q231" s="2"/>
      <c r="R231" s="2"/>
      <c r="S231" s="2"/>
      <c r="T231" s="2"/>
      <c r="U231" s="2"/>
      <c r="V231" s="2"/>
      <c r="W231" s="2"/>
      <c r="X231" s="4"/>
    </row>
    <row r="232" spans="1:24" ht="12.75">
      <c r="A232" s="2"/>
      <c r="B232" s="109" t="s">
        <v>199</v>
      </c>
      <c r="C232" s="109"/>
      <c r="D232" s="109"/>
      <c r="E232" s="109"/>
      <c r="F232" s="109"/>
      <c r="G232" s="109"/>
      <c r="H232" s="109"/>
      <c r="I232" s="109"/>
      <c r="J232" s="110">
        <f>J226-J229</f>
        <v>30</v>
      </c>
      <c r="K232" s="110"/>
      <c r="L232" s="110"/>
      <c r="M232" s="2"/>
      <c r="N232" s="2"/>
      <c r="O232" s="2"/>
      <c r="P232" s="2"/>
      <c r="Q232" s="2"/>
      <c r="R232" s="2"/>
      <c r="S232" s="2"/>
      <c r="T232" s="2"/>
      <c r="U232" s="2"/>
      <c r="V232" s="2"/>
      <c r="W232" s="2"/>
      <c r="X232" s="4"/>
    </row>
    <row r="233" spans="1:24" ht="12.75">
      <c r="A233" s="2"/>
      <c r="B233" s="2"/>
      <c r="C233" s="2"/>
      <c r="D233" s="2"/>
      <c r="E233" s="2"/>
      <c r="F233" s="2"/>
      <c r="G233" s="2"/>
      <c r="H233" s="2"/>
      <c r="I233" s="2"/>
      <c r="J233" s="2"/>
      <c r="K233" s="2"/>
      <c r="L233" s="2"/>
      <c r="M233" s="2"/>
      <c r="N233" s="2"/>
      <c r="O233" s="2"/>
      <c r="P233" s="2"/>
      <c r="Q233" s="2"/>
      <c r="R233" s="2"/>
      <c r="S233" s="2"/>
      <c r="T233" s="2"/>
      <c r="U233" s="2"/>
      <c r="V233" s="2"/>
      <c r="W233" s="2"/>
      <c r="X233" s="4"/>
    </row>
    <row r="234" spans="1:24" ht="12.75">
      <c r="A234" s="2"/>
      <c r="B234" s="2"/>
      <c r="C234" s="2"/>
      <c r="D234" s="2"/>
      <c r="E234" s="2"/>
      <c r="F234" s="2"/>
      <c r="G234" s="2"/>
      <c r="H234" s="2"/>
      <c r="I234" s="2"/>
      <c r="J234" s="2"/>
      <c r="K234" s="2"/>
      <c r="L234" s="2"/>
      <c r="M234" s="2"/>
      <c r="N234" s="2"/>
      <c r="O234" s="2"/>
      <c r="P234" s="2"/>
      <c r="Q234" s="2"/>
      <c r="R234" s="2"/>
      <c r="S234" s="2"/>
      <c r="T234" s="2"/>
      <c r="U234" s="2"/>
      <c r="V234" s="2"/>
      <c r="W234" s="2"/>
      <c r="X234" s="4"/>
    </row>
    <row r="235" spans="1:24" ht="12.75">
      <c r="A235" s="2"/>
      <c r="B235" s="2"/>
      <c r="C235" s="2"/>
      <c r="D235" s="2"/>
      <c r="E235" s="2"/>
      <c r="F235" s="2"/>
      <c r="G235" s="2"/>
      <c r="H235" s="2"/>
      <c r="I235" s="2"/>
      <c r="J235" s="2"/>
      <c r="K235" s="2"/>
      <c r="L235" s="2"/>
      <c r="M235" s="2"/>
      <c r="N235" s="2"/>
      <c r="O235" s="2"/>
      <c r="P235" s="2"/>
      <c r="Q235" s="2"/>
      <c r="R235" s="2"/>
      <c r="S235" s="2"/>
      <c r="T235" s="2"/>
      <c r="U235" s="2"/>
      <c r="V235" s="2"/>
      <c r="W235" s="2"/>
      <c r="X235" s="4"/>
    </row>
    <row r="236" spans="1:24" ht="12.75">
      <c r="A236" s="2"/>
      <c r="B236" s="108" t="s">
        <v>262</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4"/>
    </row>
    <row r="237" spans="1:24" ht="12.75">
      <c r="A237" s="2"/>
      <c r="B237" s="112" t="s">
        <v>259</v>
      </c>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4"/>
    </row>
    <row r="238" spans="1:24" ht="12.75">
      <c r="A238" s="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4"/>
    </row>
    <row r="239" spans="1:24" ht="12.75">
      <c r="A239" s="2"/>
      <c r="B239" s="2"/>
      <c r="C239" s="2"/>
      <c r="D239" s="2"/>
      <c r="E239" s="2"/>
      <c r="F239" s="2"/>
      <c r="G239" s="2"/>
      <c r="H239" s="2"/>
      <c r="I239" s="2"/>
      <c r="J239" s="2"/>
      <c r="K239" s="2"/>
      <c r="L239" s="2"/>
      <c r="M239" s="2"/>
      <c r="N239" s="2"/>
      <c r="O239" s="2"/>
      <c r="P239" s="2"/>
      <c r="Q239" s="2"/>
      <c r="R239" s="2"/>
      <c r="S239" s="2"/>
      <c r="T239" s="2"/>
      <c r="U239" s="2"/>
      <c r="V239" s="2"/>
      <c r="W239" s="2"/>
      <c r="X239" s="4"/>
    </row>
    <row r="240" spans="1:24" ht="12.75">
      <c r="A240" s="2"/>
      <c r="B240" s="106" t="s">
        <v>260</v>
      </c>
      <c r="C240" s="2"/>
      <c r="D240" s="2"/>
      <c r="E240" s="2"/>
      <c r="F240" s="2"/>
      <c r="G240" s="2"/>
      <c r="H240" s="2"/>
      <c r="I240" s="2"/>
      <c r="J240" s="2"/>
      <c r="K240" s="2"/>
      <c r="L240" s="2"/>
      <c r="M240" s="2"/>
      <c r="N240" s="2"/>
      <c r="O240" s="2"/>
      <c r="P240" s="2"/>
      <c r="Q240" s="2"/>
      <c r="R240" s="2"/>
      <c r="S240" s="2"/>
      <c r="T240" s="2"/>
      <c r="U240" s="2"/>
      <c r="V240" s="2"/>
      <c r="W240" s="2"/>
      <c r="X240" s="4"/>
    </row>
    <row r="241" spans="1:24" ht="12.75">
      <c r="A241" s="2"/>
      <c r="B241" s="106" t="s">
        <v>261</v>
      </c>
      <c r="C241" s="2"/>
      <c r="D241" s="2"/>
      <c r="E241" s="2"/>
      <c r="F241" s="2"/>
      <c r="G241" s="2"/>
      <c r="H241" s="2"/>
      <c r="I241" s="2"/>
      <c r="J241" s="2"/>
      <c r="K241" s="2"/>
      <c r="L241" s="2"/>
      <c r="M241" s="2"/>
      <c r="N241" s="2"/>
      <c r="O241" s="2"/>
      <c r="P241" s="2"/>
      <c r="Q241" s="2"/>
      <c r="R241" s="2"/>
      <c r="S241" s="2"/>
      <c r="T241" s="2"/>
      <c r="U241" s="2"/>
      <c r="V241" s="2"/>
      <c r="W241" s="2"/>
      <c r="X241" s="4"/>
    </row>
    <row r="242" spans="1:24" ht="12.75">
      <c r="A242" s="2"/>
      <c r="B242" s="106" t="s">
        <v>265</v>
      </c>
      <c r="C242" s="2"/>
      <c r="D242" s="2"/>
      <c r="E242" s="2"/>
      <c r="F242" s="2"/>
      <c r="G242" s="2"/>
      <c r="H242" s="2"/>
      <c r="I242" s="2"/>
      <c r="J242" s="2"/>
      <c r="K242" s="2"/>
      <c r="L242" s="2"/>
      <c r="M242" s="2"/>
      <c r="N242" s="2"/>
      <c r="O242" s="2"/>
      <c r="P242" s="2"/>
      <c r="Q242" s="2"/>
      <c r="R242" s="2"/>
      <c r="S242" s="2"/>
      <c r="T242" s="2"/>
      <c r="U242" s="2"/>
      <c r="V242" s="2"/>
      <c r="W242" s="2"/>
      <c r="X242" s="4"/>
    </row>
    <row r="243" spans="1:24" ht="12.75">
      <c r="A243" s="2"/>
      <c r="B243" s="5"/>
      <c r="C243" s="2"/>
      <c r="D243" s="2"/>
      <c r="E243" s="2"/>
      <c r="F243" s="2"/>
      <c r="G243" s="2"/>
      <c r="H243" s="2"/>
      <c r="I243" s="2"/>
      <c r="J243" s="2"/>
      <c r="K243" s="2"/>
      <c r="L243" s="2"/>
      <c r="M243" s="2"/>
      <c r="N243" s="2"/>
      <c r="O243" s="2"/>
      <c r="P243" s="2"/>
      <c r="Q243" s="2"/>
      <c r="R243" s="2"/>
      <c r="S243" s="2"/>
      <c r="T243" s="2"/>
      <c r="U243" s="2"/>
      <c r="V243" s="2"/>
      <c r="W243" s="2"/>
      <c r="X243" s="4"/>
    </row>
    <row r="244" spans="1:24" ht="12.75">
      <c r="A244" s="2"/>
      <c r="B244" s="111" t="s">
        <v>263</v>
      </c>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05"/>
    </row>
    <row r="245" spans="1:24" s="10" customFormat="1" ht="12.75">
      <c r="A245" s="3"/>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05"/>
    </row>
    <row r="246" spans="1:24" s="10" customFormat="1" ht="12.75">
      <c r="A246" s="104"/>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05"/>
    </row>
    <row r="247" spans="1:24" ht="12.75">
      <c r="A247" s="104"/>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05"/>
    </row>
    <row r="248" spans="1:24" ht="12.75">
      <c r="A248" s="104"/>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05"/>
    </row>
    <row r="249" spans="1:24" ht="12.75">
      <c r="A249" s="104"/>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05"/>
    </row>
    <row r="250" spans="1:24" ht="12.75">
      <c r="A250" s="104"/>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05"/>
    </row>
    <row r="251" spans="1:24" ht="12.75">
      <c r="A251" s="104"/>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05"/>
    </row>
  </sheetData>
  <sheetProtection password="C77E" sheet="1" objects="1" scenarios="1"/>
  <mergeCells count="421">
    <mergeCell ref="I5:K5"/>
    <mergeCell ref="T5:V5"/>
    <mergeCell ref="B35:E35"/>
    <mergeCell ref="F35:G35"/>
    <mergeCell ref="H35:I35"/>
    <mergeCell ref="K35:N35"/>
    <mergeCell ref="O35:P35"/>
    <mergeCell ref="Q35:R35"/>
    <mergeCell ref="O36:P36"/>
    <mergeCell ref="Q36:R36"/>
    <mergeCell ref="B42:G42"/>
    <mergeCell ref="H42:I42"/>
    <mergeCell ref="J42:S42"/>
    <mergeCell ref="B36:E36"/>
    <mergeCell ref="F36:G36"/>
    <mergeCell ref="H36:I36"/>
    <mergeCell ref="K36:N36"/>
    <mergeCell ref="B43:G43"/>
    <mergeCell ref="H43:I43"/>
    <mergeCell ref="J43:Q43"/>
    <mergeCell ref="R43:S43"/>
    <mergeCell ref="B44:G44"/>
    <mergeCell ref="H44:I44"/>
    <mergeCell ref="J44:Q44"/>
    <mergeCell ref="R44:S44"/>
    <mergeCell ref="B45:G45"/>
    <mergeCell ref="H45:I45"/>
    <mergeCell ref="J45:Q45"/>
    <mergeCell ref="R45:S45"/>
    <mergeCell ref="B47:G47"/>
    <mergeCell ref="H47:I47"/>
    <mergeCell ref="J47:S47"/>
    <mergeCell ref="B48:G48"/>
    <mergeCell ref="H48:I48"/>
    <mergeCell ref="J48:Q48"/>
    <mergeCell ref="R48:S48"/>
    <mergeCell ref="B49:G49"/>
    <mergeCell ref="H49:I49"/>
    <mergeCell ref="J49:Q49"/>
    <mergeCell ref="R49:S49"/>
    <mergeCell ref="B50:G50"/>
    <mergeCell ref="H50:I50"/>
    <mergeCell ref="J50:S50"/>
    <mergeCell ref="B51:G51"/>
    <mergeCell ref="H51:I51"/>
    <mergeCell ref="J51:S51"/>
    <mergeCell ref="B52:G52"/>
    <mergeCell ref="H52:I52"/>
    <mergeCell ref="J52:S52"/>
    <mergeCell ref="B53:G53"/>
    <mergeCell ref="H53:I53"/>
    <mergeCell ref="J53:K53"/>
    <mergeCell ref="L53:S53"/>
    <mergeCell ref="B59:I59"/>
    <mergeCell ref="J59:L59"/>
    <mergeCell ref="B60:I60"/>
    <mergeCell ref="J60:L60"/>
    <mergeCell ref="B61:I61"/>
    <mergeCell ref="J61:L61"/>
    <mergeCell ref="B62:I62"/>
    <mergeCell ref="J62:L62"/>
    <mergeCell ref="B63:I63"/>
    <mergeCell ref="J63:L63"/>
    <mergeCell ref="B64:I64"/>
    <mergeCell ref="J64:L64"/>
    <mergeCell ref="B65:I65"/>
    <mergeCell ref="J65:L66"/>
    <mergeCell ref="B66:I66"/>
    <mergeCell ref="B67:I67"/>
    <mergeCell ref="J67:L67"/>
    <mergeCell ref="B68:I68"/>
    <mergeCell ref="J68:L68"/>
    <mergeCell ref="N68:P68"/>
    <mergeCell ref="B69:L69"/>
    <mergeCell ref="B75:J75"/>
    <mergeCell ref="K75:L75"/>
    <mergeCell ref="B76:J76"/>
    <mergeCell ref="K76:L76"/>
    <mergeCell ref="B77:J77"/>
    <mergeCell ref="K77:L77"/>
    <mergeCell ref="B78:J78"/>
    <mergeCell ref="K78:L78"/>
    <mergeCell ref="M78:N78"/>
    <mergeCell ref="B83:D83"/>
    <mergeCell ref="E83:G83"/>
    <mergeCell ref="H83:J83"/>
    <mergeCell ref="B84:D84"/>
    <mergeCell ref="E84:G84"/>
    <mergeCell ref="H84:J84"/>
    <mergeCell ref="F90:G90"/>
    <mergeCell ref="H90:I90"/>
    <mergeCell ref="J90:K90"/>
    <mergeCell ref="L90:M90"/>
    <mergeCell ref="F91:G91"/>
    <mergeCell ref="H91:I91"/>
    <mergeCell ref="J91:K91"/>
    <mergeCell ref="L91:M91"/>
    <mergeCell ref="F92:G92"/>
    <mergeCell ref="H92:I92"/>
    <mergeCell ref="J92:K92"/>
    <mergeCell ref="L92:M92"/>
    <mergeCell ref="F93:G93"/>
    <mergeCell ref="H93:I93"/>
    <mergeCell ref="J93:K93"/>
    <mergeCell ref="L93:M93"/>
    <mergeCell ref="F94:G94"/>
    <mergeCell ref="H94:I94"/>
    <mergeCell ref="J94:K94"/>
    <mergeCell ref="L94:M94"/>
    <mergeCell ref="B95:E95"/>
    <mergeCell ref="F95:G95"/>
    <mergeCell ref="H95:I95"/>
    <mergeCell ref="J95:K95"/>
    <mergeCell ref="B96:E96"/>
    <mergeCell ref="F96:G96"/>
    <mergeCell ref="H96:I96"/>
    <mergeCell ref="J96:K96"/>
    <mergeCell ref="B97:E97"/>
    <mergeCell ref="F97:G97"/>
    <mergeCell ref="H97:I97"/>
    <mergeCell ref="J97:K97"/>
    <mergeCell ref="B98:E98"/>
    <mergeCell ref="F98:G98"/>
    <mergeCell ref="H98:I98"/>
    <mergeCell ref="B99:E99"/>
    <mergeCell ref="F99:G99"/>
    <mergeCell ref="H99:I99"/>
    <mergeCell ref="B100:E100"/>
    <mergeCell ref="F100:G100"/>
    <mergeCell ref="H100:I100"/>
    <mergeCell ref="B101:E101"/>
    <mergeCell ref="F101:G101"/>
    <mergeCell ref="H101:I101"/>
    <mergeCell ref="J101:K101"/>
    <mergeCell ref="B102:E102"/>
    <mergeCell ref="F102:G102"/>
    <mergeCell ref="H102:I102"/>
    <mergeCell ref="J102:K102"/>
    <mergeCell ref="L102:M102"/>
    <mergeCell ref="B103:I103"/>
    <mergeCell ref="J103:M103"/>
    <mergeCell ref="B104:I104"/>
    <mergeCell ref="J104:K104"/>
    <mergeCell ref="B105:I105"/>
    <mergeCell ref="J105:K105"/>
    <mergeCell ref="B106:K106"/>
    <mergeCell ref="L106:M106"/>
    <mergeCell ref="B112:F112"/>
    <mergeCell ref="G112:H112"/>
    <mergeCell ref="J112:N112"/>
    <mergeCell ref="O112:P112"/>
    <mergeCell ref="B113:F113"/>
    <mergeCell ref="G113:H113"/>
    <mergeCell ref="J113:N113"/>
    <mergeCell ref="O113:P113"/>
    <mergeCell ref="B114:F114"/>
    <mergeCell ref="G114:H114"/>
    <mergeCell ref="R112:U112"/>
    <mergeCell ref="V112:W112"/>
    <mergeCell ref="R113:U113"/>
    <mergeCell ref="V113:W113"/>
    <mergeCell ref="R115:U115"/>
    <mergeCell ref="V115:W115"/>
    <mergeCell ref="R114:U114"/>
    <mergeCell ref="V114:W114"/>
    <mergeCell ref="B115:F115"/>
    <mergeCell ref="G115:H115"/>
    <mergeCell ref="J115:N115"/>
    <mergeCell ref="O115:P115"/>
    <mergeCell ref="J114:N114"/>
    <mergeCell ref="O114:P114"/>
    <mergeCell ref="B121:E121"/>
    <mergeCell ref="F121:G121"/>
    <mergeCell ref="B122:E122"/>
    <mergeCell ref="F122:G122"/>
    <mergeCell ref="B123:E123"/>
    <mergeCell ref="F123:G123"/>
    <mergeCell ref="B124:E124"/>
    <mergeCell ref="F124:G124"/>
    <mergeCell ref="M124:P124"/>
    <mergeCell ref="Q124:R124"/>
    <mergeCell ref="S124:T124"/>
    <mergeCell ref="B125:E125"/>
    <mergeCell ref="F125:G125"/>
    <mergeCell ref="B131:E131"/>
    <mergeCell ref="F131:G131"/>
    <mergeCell ref="B132:E132"/>
    <mergeCell ref="F132:G132"/>
    <mergeCell ref="B133:E133"/>
    <mergeCell ref="F133:G133"/>
    <mergeCell ref="M142:O142"/>
    <mergeCell ref="P142:R142"/>
    <mergeCell ref="B139:H139"/>
    <mergeCell ref="I139:J139"/>
    <mergeCell ref="K139:L139"/>
    <mergeCell ref="B141:C141"/>
    <mergeCell ref="D141:E141"/>
    <mergeCell ref="F141:G141"/>
    <mergeCell ref="H141:I141"/>
    <mergeCell ref="J141:L141"/>
    <mergeCell ref="P143:R143"/>
    <mergeCell ref="S143:U143"/>
    <mergeCell ref="M141:O141"/>
    <mergeCell ref="P141:R141"/>
    <mergeCell ref="S141:U141"/>
    <mergeCell ref="B142:C142"/>
    <mergeCell ref="D142:E142"/>
    <mergeCell ref="F142:G142"/>
    <mergeCell ref="H142:I142"/>
    <mergeCell ref="J142:L142"/>
    <mergeCell ref="H144:I144"/>
    <mergeCell ref="J144:L144"/>
    <mergeCell ref="M144:O144"/>
    <mergeCell ref="S142:U142"/>
    <mergeCell ref="B143:C143"/>
    <mergeCell ref="D143:E143"/>
    <mergeCell ref="F143:G143"/>
    <mergeCell ref="H143:I143"/>
    <mergeCell ref="J143:L143"/>
    <mergeCell ref="M143:O143"/>
    <mergeCell ref="P144:R144"/>
    <mergeCell ref="S144:U144"/>
    <mergeCell ref="K145:K146"/>
    <mergeCell ref="N145:N146"/>
    <mergeCell ref="Q145:Q146"/>
    <mergeCell ref="B146:F146"/>
    <mergeCell ref="G146:H146"/>
    <mergeCell ref="B144:C144"/>
    <mergeCell ref="D144:E144"/>
    <mergeCell ref="F144:G144"/>
    <mergeCell ref="J147:L147"/>
    <mergeCell ref="M147:O147"/>
    <mergeCell ref="P147:R147"/>
    <mergeCell ref="S147:U147"/>
    <mergeCell ref="B148:I148"/>
    <mergeCell ref="J148:L148"/>
    <mergeCell ref="M148:O148"/>
    <mergeCell ref="P148:R148"/>
    <mergeCell ref="S148:U148"/>
    <mergeCell ref="K149:K150"/>
    <mergeCell ref="N149:N150"/>
    <mergeCell ref="Q149:Q150"/>
    <mergeCell ref="B150:E150"/>
    <mergeCell ref="F150:G150"/>
    <mergeCell ref="J151:L151"/>
    <mergeCell ref="M151:O151"/>
    <mergeCell ref="P151:R151"/>
    <mergeCell ref="S151:U151"/>
    <mergeCell ref="B152:I152"/>
    <mergeCell ref="J152:L152"/>
    <mergeCell ref="M152:O152"/>
    <mergeCell ref="P152:R152"/>
    <mergeCell ref="S152:U152"/>
    <mergeCell ref="B158:H158"/>
    <mergeCell ref="I158:J158"/>
    <mergeCell ref="K158:L158"/>
    <mergeCell ref="B159:H159"/>
    <mergeCell ref="I159:J159"/>
    <mergeCell ref="D161:F161"/>
    <mergeCell ref="G161:I161"/>
    <mergeCell ref="J161:L161"/>
    <mergeCell ref="B162:C162"/>
    <mergeCell ref="D162:F162"/>
    <mergeCell ref="G162:I162"/>
    <mergeCell ref="J162:L162"/>
    <mergeCell ref="M162:O162"/>
    <mergeCell ref="P162:R162"/>
    <mergeCell ref="P163:R163"/>
    <mergeCell ref="S163:U163"/>
    <mergeCell ref="V163:W163"/>
    <mergeCell ref="M161:O161"/>
    <mergeCell ref="P161:R161"/>
    <mergeCell ref="S161:U161"/>
    <mergeCell ref="V161:W161"/>
    <mergeCell ref="J164:L164"/>
    <mergeCell ref="M164:O164"/>
    <mergeCell ref="P164:R164"/>
    <mergeCell ref="S162:U162"/>
    <mergeCell ref="V162:W162"/>
    <mergeCell ref="B163:C163"/>
    <mergeCell ref="D163:F163"/>
    <mergeCell ref="G163:I163"/>
    <mergeCell ref="J163:L163"/>
    <mergeCell ref="M163:O163"/>
    <mergeCell ref="I173:J173"/>
    <mergeCell ref="S164:U164"/>
    <mergeCell ref="V164:W164"/>
    <mergeCell ref="B165:I165"/>
    <mergeCell ref="J165:L165"/>
    <mergeCell ref="E171:H171"/>
    <mergeCell ref="I171:J171"/>
    <mergeCell ref="B164:C164"/>
    <mergeCell ref="D164:F164"/>
    <mergeCell ref="G164:I164"/>
    <mergeCell ref="D180:F180"/>
    <mergeCell ref="G180:H180"/>
    <mergeCell ref="I180:K180"/>
    <mergeCell ref="L180:N180"/>
    <mergeCell ref="O180:R180"/>
    <mergeCell ref="B172:D172"/>
    <mergeCell ref="E172:H172"/>
    <mergeCell ref="I172:J172"/>
    <mergeCell ref="B173:D173"/>
    <mergeCell ref="E173:H173"/>
    <mergeCell ref="G181:H181"/>
    <mergeCell ref="I181:K181"/>
    <mergeCell ref="B179:F179"/>
    <mergeCell ref="G179:K179"/>
    <mergeCell ref="L181:N181"/>
    <mergeCell ref="O181:R181"/>
    <mergeCell ref="B181:C181"/>
    <mergeCell ref="D181:F181"/>
    <mergeCell ref="L179:R179"/>
    <mergeCell ref="B180:C180"/>
    <mergeCell ref="B182:C182"/>
    <mergeCell ref="D182:F182"/>
    <mergeCell ref="G182:H182"/>
    <mergeCell ref="I182:K182"/>
    <mergeCell ref="L182:N182"/>
    <mergeCell ref="O182:R182"/>
    <mergeCell ref="L183:N183"/>
    <mergeCell ref="O183:R183"/>
    <mergeCell ref="B184:D184"/>
    <mergeCell ref="B185:D185"/>
    <mergeCell ref="B183:C183"/>
    <mergeCell ref="D183:F183"/>
    <mergeCell ref="G183:H183"/>
    <mergeCell ref="I183:K183"/>
    <mergeCell ref="B191:M191"/>
    <mergeCell ref="B192:D192"/>
    <mergeCell ref="E192:G192"/>
    <mergeCell ref="H192:J192"/>
    <mergeCell ref="K192:M192"/>
    <mergeCell ref="B193:D193"/>
    <mergeCell ref="E193:G193"/>
    <mergeCell ref="H193:J193"/>
    <mergeCell ref="K193:M193"/>
    <mergeCell ref="B194:D194"/>
    <mergeCell ref="E194:G194"/>
    <mergeCell ref="H194:J194"/>
    <mergeCell ref="K194:M194"/>
    <mergeCell ref="B195:D195"/>
    <mergeCell ref="E195:G195"/>
    <mergeCell ref="H195:J195"/>
    <mergeCell ref="K195:M195"/>
    <mergeCell ref="B196:D196"/>
    <mergeCell ref="E196:G196"/>
    <mergeCell ref="H196:J196"/>
    <mergeCell ref="K196:M196"/>
    <mergeCell ref="B197:D197"/>
    <mergeCell ref="E197:G197"/>
    <mergeCell ref="H197:J197"/>
    <mergeCell ref="K197:M197"/>
    <mergeCell ref="S207:T207"/>
    <mergeCell ref="B198:D198"/>
    <mergeCell ref="E198:G198"/>
    <mergeCell ref="H198:J198"/>
    <mergeCell ref="K198:M198"/>
    <mergeCell ref="B200:G200"/>
    <mergeCell ref="H200:J200"/>
    <mergeCell ref="L214:M214"/>
    <mergeCell ref="N214:O214"/>
    <mergeCell ref="B206:E206"/>
    <mergeCell ref="F206:G206"/>
    <mergeCell ref="B207:E207"/>
    <mergeCell ref="F207:G207"/>
    <mergeCell ref="L207:R207"/>
    <mergeCell ref="Q215:R215"/>
    <mergeCell ref="S215:T215"/>
    <mergeCell ref="B208:E208"/>
    <mergeCell ref="F208:G208"/>
    <mergeCell ref="L208:R208"/>
    <mergeCell ref="S208:T208"/>
    <mergeCell ref="B214:C214"/>
    <mergeCell ref="D214:E214"/>
    <mergeCell ref="G214:H214"/>
    <mergeCell ref="I214:J214"/>
    <mergeCell ref="L216:M216"/>
    <mergeCell ref="N216:O216"/>
    <mergeCell ref="Q214:R214"/>
    <mergeCell ref="S214:T214"/>
    <mergeCell ref="B215:C215"/>
    <mergeCell ref="D215:E215"/>
    <mergeCell ref="G215:H215"/>
    <mergeCell ref="I215:J215"/>
    <mergeCell ref="L215:M215"/>
    <mergeCell ref="N215:O215"/>
    <mergeCell ref="Q216:R216"/>
    <mergeCell ref="S216:T216"/>
    <mergeCell ref="B218:C218"/>
    <mergeCell ref="D218:E218"/>
    <mergeCell ref="G218:H218"/>
    <mergeCell ref="I218:J218"/>
    <mergeCell ref="B216:C216"/>
    <mergeCell ref="D216:E216"/>
    <mergeCell ref="G216:H216"/>
    <mergeCell ref="I216:J216"/>
    <mergeCell ref="B219:C219"/>
    <mergeCell ref="D219:E219"/>
    <mergeCell ref="G219:H219"/>
    <mergeCell ref="I219:J219"/>
    <mergeCell ref="B220:C220"/>
    <mergeCell ref="D220:E220"/>
    <mergeCell ref="G220:H220"/>
    <mergeCell ref="I220:J220"/>
    <mergeCell ref="B226:I226"/>
    <mergeCell ref="J226:L226"/>
    <mergeCell ref="B227:I227"/>
    <mergeCell ref="J227:L227"/>
    <mergeCell ref="B228:I228"/>
    <mergeCell ref="J228:L228"/>
    <mergeCell ref="B232:I232"/>
    <mergeCell ref="J232:L232"/>
    <mergeCell ref="B244:W251"/>
    <mergeCell ref="B237:W238"/>
    <mergeCell ref="B229:I229"/>
    <mergeCell ref="J229:L229"/>
    <mergeCell ref="B230:I230"/>
    <mergeCell ref="J230:L230"/>
    <mergeCell ref="B231:I231"/>
    <mergeCell ref="J231:L231"/>
  </mergeCells>
  <conditionalFormatting sqref="B67:B68">
    <cfRule type="cellIs" priority="1" dxfId="0" operator="equal" stopIfTrue="1">
      <formula>"  ACHTUNG! Extrakt des Jungbier noch zu hoch!"</formula>
    </cfRule>
  </conditionalFormatting>
  <conditionalFormatting sqref="B69">
    <cfRule type="cellIs" priority="2" dxfId="0" operator="equal" stopIfTrue="1">
      <formula>"  ACHTUNG! Extrakt des Jungbier ist noch zu hoch!"</formula>
    </cfRule>
  </conditionalFormatting>
  <dataValidations count="4">
    <dataValidation type="whole" sqref="J62">
      <formula1>0</formula1>
      <formula2>0</formula2>
    </dataValidation>
    <dataValidation errorStyle="warning" type="decimal" operator="lessThan" showErrorMessage="1" errorTitle="Achtung!" error="Sulfatanteil zu hoch!" sqref="J96">
      <formula1>181</formula1>
    </dataValidation>
    <dataValidation errorStyle="warning" type="decimal" operator="lessThan" showErrorMessage="1" errorTitle="Achtung!" error="Chloridanteil zu hoch!" sqref="J97">
      <formula1>101</formula1>
    </dataValidation>
    <dataValidation type="whole" operator="equal" sqref="V93">
      <formula1>0</formula1>
    </dataValidation>
  </dataValidations>
  <printOptions/>
  <pageMargins left="0.5902777777777778" right="0.39375" top="0.39375" bottom="0.27569444444444446" header="0.5118055555555556" footer="0.5118055555555556"/>
  <pageSetup fitToHeight="1" fitToWidth="1"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Tabelle18">
    <pageSetUpPr fitToPage="1"/>
  </sheetPr>
  <dimension ref="A1:B3"/>
  <sheetViews>
    <sheetView showGridLines="0" zoomScale="120" zoomScaleNormal="120" zoomScalePageLayoutView="0" workbookViewId="0" topLeftCell="A1">
      <selection activeCell="A1" sqref="A1"/>
    </sheetView>
  </sheetViews>
  <sheetFormatPr defaultColWidth="11.421875" defaultRowHeight="12.75"/>
  <cols>
    <col min="1" max="20" width="5.57421875" style="0" customWidth="1"/>
  </cols>
  <sheetData>
    <row r="1" ht="12.75">
      <c r="A1" t="s">
        <v>223</v>
      </c>
    </row>
    <row r="2" spans="1:2" ht="12.75">
      <c r="A2" t="s">
        <v>224</v>
      </c>
      <c r="B2" t="s">
        <v>225</v>
      </c>
    </row>
    <row r="3" spans="1:2" ht="12.75">
      <c r="A3" t="s">
        <v>68</v>
      </c>
      <c r="B3" t="s">
        <v>226</v>
      </c>
    </row>
    <row r="6" ht="19.5" customHeight="1"/>
    <row r="7" ht="13.5" customHeight="1"/>
    <row r="8" ht="13.5" customHeight="1"/>
    <row r="9" ht="13.5" customHeight="1"/>
    <row r="10" ht="13.5" customHeight="1"/>
    <row r="11" ht="13.5" customHeight="1"/>
    <row r="12" ht="13.5" customHeight="1"/>
    <row r="19" ht="12.75" customHeight="1"/>
    <row r="29" ht="2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2" customHeight="1"/>
    <row r="57" ht="16.5" customHeight="1"/>
    <row r="58" ht="7.5" customHeight="1"/>
    <row r="59" ht="16.5" customHeight="1"/>
    <row r="60" ht="15.75" customHeight="1"/>
    <row r="61" ht="15.75" customHeight="1"/>
    <row r="62" ht="22.5" customHeight="1"/>
    <row r="63" ht="14.25" customHeight="1"/>
    <row r="73" ht="16.5" customHeight="1"/>
    <row r="76" ht="16.5" customHeight="1"/>
    <row r="79" ht="22.5" customHeight="1"/>
    <row r="80" ht="13.5" customHeight="1"/>
    <row r="81" ht="13.5" customHeight="1"/>
    <row r="82" ht="13.5" customHeight="1"/>
    <row r="83" ht="16.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103" ht="13.5" customHeight="1"/>
    <row r="109" ht="13.5" customHeight="1"/>
    <row r="115" ht="22.5" customHeight="1"/>
    <row r="120" ht="7.5" customHeight="1"/>
    <row r="121" ht="15.75" customHeight="1"/>
    <row r="122" ht="17.25" customHeight="1"/>
  </sheetData>
  <sheetProtection/>
  <printOptions/>
  <pageMargins left="0.5902777777777778" right="0.39375" top="0.39375" bottom="0.27569444444444446" header="0.5118055555555556" footer="0.5118055555555556"/>
  <pageSetup fitToHeight="1" fitToWidth="1" horizontalDpi="300" verticalDpi="300" orientation="portrait" paperSize="9"/>
  <rowBreaks count="1" manualBreakCount="1">
    <brk id="7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Manfred</cp:lastModifiedBy>
  <cp:lastPrinted>2009-06-26T18:48:14Z</cp:lastPrinted>
  <dcterms:created xsi:type="dcterms:W3CDTF">2008-09-27T04:58:36Z</dcterms:created>
  <dcterms:modified xsi:type="dcterms:W3CDTF">2017-03-25T17:05:55Z</dcterms:modified>
  <cp:category/>
  <cp:version/>
  <cp:contentType/>
  <cp:contentStatus/>
</cp:coreProperties>
</file>